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AFDCA87-216D-4F0C-B20D-BF097065FEF7}" xr6:coauthVersionLast="47" xr6:coauthVersionMax="47" xr10:uidLastSave="{00000000-0000-0000-0000-000000000000}"/>
  <bookViews>
    <workbookView xWindow="-110" yWindow="-110" windowWidth="19420" windowHeight="10300" firstSheet="3" activeTab="5" xr2:uid="{4E15C3CA-6F70-49E0-9507-8851575D5FCD}"/>
  </bookViews>
  <sheets>
    <sheet name="TF59_2026" sheetId="3" r:id="rId1"/>
    <sheet name="TF59_2026 Previously" sheetId="4" r:id="rId2"/>
    <sheet name="TABLES" sheetId="1" r:id="rId3"/>
    <sheet name="Apartment Availability" sheetId="5" r:id="rId4"/>
    <sheet name="Company Resident of Cyprus" sheetId="6" r:id="rId5"/>
    <sheet name="PROFITS UNTIL 202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2" i="4" l="1"/>
  <c r="D60" i="3" s="1"/>
  <c r="E60" i="3" s="1"/>
  <c r="E64" i="3" s="1"/>
  <c r="D32" i="4"/>
  <c r="F18" i="7"/>
  <c r="C49" i="4"/>
  <c r="D49" i="4" s="1"/>
  <c r="F16" i="7"/>
  <c r="F9" i="7"/>
  <c r="F8" i="7"/>
  <c r="E8" i="7"/>
  <c r="F7" i="7"/>
  <c r="E7" i="7"/>
  <c r="F34" i="6"/>
  <c r="E34" i="6"/>
  <c r="F32" i="6"/>
  <c r="E32" i="6"/>
  <c r="F31" i="6"/>
  <c r="F30" i="6"/>
  <c r="F29" i="6"/>
  <c r="E31" i="6"/>
  <c r="E30" i="6"/>
  <c r="E29" i="6"/>
  <c r="F10" i="6"/>
  <c r="F13" i="6" s="1"/>
  <c r="E10" i="6"/>
  <c r="E13" i="6" s="1"/>
  <c r="D18" i="5"/>
  <c r="E16" i="5"/>
  <c r="D16" i="5"/>
  <c r="E10" i="5"/>
  <c r="E14" i="5" s="1"/>
  <c r="D10" i="5"/>
  <c r="D14" i="5" s="1"/>
  <c r="E5" i="5"/>
  <c r="C35" i="4"/>
  <c r="C35" i="3"/>
  <c r="D63" i="3" s="1"/>
  <c r="C62" i="3"/>
  <c r="D61" i="3"/>
  <c r="E61" i="3" s="1"/>
  <c r="C48" i="4"/>
  <c r="C34" i="4"/>
  <c r="C30" i="4"/>
  <c r="D19" i="4"/>
  <c r="D17" i="4"/>
  <c r="C30" i="3"/>
  <c r="D17" i="3"/>
  <c r="D19" i="3" s="1"/>
  <c r="D32" i="3" s="1"/>
  <c r="E35" i="3" s="1"/>
  <c r="C34" i="3"/>
  <c r="D62" i="3" s="1"/>
  <c r="E18" i="6" l="1"/>
  <c r="E20" i="6" s="1"/>
  <c r="E23" i="6"/>
  <c r="F18" i="6"/>
  <c r="F23" i="6"/>
  <c r="E62" i="3"/>
  <c r="C63" i="3"/>
  <c r="E63" i="3" s="1"/>
  <c r="D42" i="4"/>
  <c r="D43" i="4"/>
  <c r="D48" i="4"/>
  <c r="E35" i="4"/>
  <c r="D42" i="3"/>
  <c r="D43" i="3" s="1"/>
  <c r="C48" i="3" s="1"/>
  <c r="D48" i="3" s="1"/>
  <c r="D52" i="3" s="1"/>
  <c r="D53" i="4" l="1"/>
  <c r="D54" i="4" s="1"/>
  <c r="D64" i="3"/>
  <c r="E26" i="6"/>
  <c r="F20" i="6"/>
  <c r="F26" i="6" s="1"/>
  <c r="D53" i="3"/>
  <c r="D54" i="3" s="1"/>
  <c r="C60" i="3"/>
  <c r="F52" i="3"/>
  <c r="C64" i="3" l="1"/>
</calcChain>
</file>

<file path=xl/sharedStrings.xml><?xml version="1.0" encoding="utf-8"?>
<sst xmlns="http://schemas.openxmlformats.org/spreadsheetml/2006/main" count="271" uniqueCount="211">
  <si>
    <t>%</t>
  </si>
  <si>
    <t>0-22.000</t>
  </si>
  <si>
    <t>22.000-32.000</t>
  </si>
  <si>
    <t>32.000-42.000</t>
  </si>
  <si>
    <t>42.000-72.000</t>
  </si>
  <si>
    <t>Τ.Φ.59 – Δήλωση για Διεκδίκηση Φορολογικών Εκπτώσεων (2026) — Φόρος Εισοδήματος</t>
  </si>
  <si>
    <t>Στοιχεία Υπαλλήλου</t>
  </si>
  <si>
    <t>Όνομα Υπαλλήλου*</t>
  </si>
  <si>
    <t>Α.Κ.Α.*</t>
  </si>
  <si>
    <t>Διεύθυνση κατοικίας*</t>
  </si>
  <si>
    <t>Διεύθυνση Ηλεκτρονικού Ταχυδρομείου*</t>
  </si>
  <si>
    <t>Αριθμός Φορολογικής Ταυτότητας (Α.Φ.Τ.)*</t>
  </si>
  <si>
    <t>Αρ. Τηλεφώνου*</t>
  </si>
  <si>
    <t>ΜΕΡΟΣ Α. ΕΙΣΟΔΗΜΑΤΑ</t>
  </si>
  <si>
    <t>Κωδ.</t>
  </si>
  <si>
    <t>Περιγραφή</t>
  </si>
  <si>
    <t>Ποσό (Υπάλληλος)</t>
  </si>
  <si>
    <t>Α1</t>
  </si>
  <si>
    <t>Μισθωτές Υπηρεσίες και οφέλη που εμπίπτουν στις αποδοχές των ΥΚΑ</t>
  </si>
  <si>
    <t>Α2</t>
  </si>
  <si>
    <t>Οφέλη/ποσά που δεν εμπίπτουν στις αποδοχές των ΥΚΑ</t>
  </si>
  <si>
    <t>Α3</t>
  </si>
  <si>
    <t>Άλλα εισοδήματα (π.χ. προηγ. εργοδότηση, συντάξεις, ενοίκια, τόκοι, μερίσματα)</t>
  </si>
  <si>
    <t>Α4</t>
  </si>
  <si>
    <t>Μεικτά Ενοίκια</t>
  </si>
  <si>
    <t>Α5</t>
  </si>
  <si>
    <t>Εισοδήματα από άλλες πηγές</t>
  </si>
  <si>
    <t>Α6</t>
  </si>
  <si>
    <t>ΟΛΙΚΟ ΕΙΣΟΔΗΜΑ</t>
  </si>
  <si>
    <t>Α7</t>
  </si>
  <si>
    <t>Μείον: Εισοδήματα που δεν φορολογούνται</t>
  </si>
  <si>
    <t>Α8</t>
  </si>
  <si>
    <t>ΟΛΙΚΟ ΦΟΡΟΛΟΓΗΤΕΟ ΕΙΣΟΔΗΜΑ [Α6 – Α7]</t>
  </si>
  <si>
    <t>Α9α</t>
  </si>
  <si>
    <t>Σύνταξη Χηρείας από εργοδότη (επιλογή χωριστής φορολόγησης)</t>
  </si>
  <si>
    <t>Α9β</t>
  </si>
  <si>
    <t>Ποσό σύνταξης χηρείας από ΥΚΑ</t>
  </si>
  <si>
    <t>Α10α</t>
  </si>
  <si>
    <t>Εισόδημα ΟΕΕ/ΟΣΕΚΑ με ειδικό συντελεστή 8% (εκτός ΥΚΑ)</t>
  </si>
  <si>
    <t>Α10β</t>
  </si>
  <si>
    <t>Εισόδημα ΟΕΕ/ΟΣΕΚΑ με ειδικό συντελεστή 8% (εντός ΥΚΑ)</t>
  </si>
  <si>
    <t>Β1</t>
  </si>
  <si>
    <t>Β2</t>
  </si>
  <si>
    <t>Β3</t>
  </si>
  <si>
    <t>Β4</t>
  </si>
  <si>
    <t>Β5</t>
  </si>
  <si>
    <t>Β6</t>
  </si>
  <si>
    <t>Β7</t>
  </si>
  <si>
    <t>Β8</t>
  </si>
  <si>
    <t>Β9</t>
  </si>
  <si>
    <t>Β10</t>
  </si>
  <si>
    <t>Β11</t>
  </si>
  <si>
    <t>Β12</t>
  </si>
  <si>
    <t>Β13</t>
  </si>
  <si>
    <t>Β15</t>
  </si>
  <si>
    <t>Β16</t>
  </si>
  <si>
    <t>0 – 22.000</t>
  </si>
  <si>
    <t>0%</t>
  </si>
  <si>
    <t>22.001 – 32.000</t>
  </si>
  <si>
    <t>20%</t>
  </si>
  <si>
    <t>32.001 – 42.000</t>
  </si>
  <si>
    <t>25%</t>
  </si>
  <si>
    <t>42.001 – 72.000</t>
  </si>
  <si>
    <t>30%</t>
  </si>
  <si>
    <t>72.001+</t>
  </si>
  <si>
    <t>35%</t>
  </si>
  <si>
    <t>Γ1</t>
  </si>
  <si>
    <t>Γ2</t>
  </si>
  <si>
    <t>Γ3</t>
  </si>
  <si>
    <t>Γ4</t>
  </si>
  <si>
    <t xml:space="preserve"> </t>
  </si>
  <si>
    <t>Max</t>
  </si>
  <si>
    <t>0-19500</t>
  </si>
  <si>
    <t>19500-28000</t>
  </si>
  <si>
    <t>28000-36300</t>
  </si>
  <si>
    <t>36300-60000</t>
  </si>
  <si>
    <t>60000+</t>
  </si>
  <si>
    <t xml:space="preserve">Saving </t>
  </si>
  <si>
    <t>ΧΡΗΣΗ ΕΡΓΟΔΟΤΗ</t>
  </si>
  <si>
    <t>COMPANIES WITH PROFITS UNTIL 2025</t>
  </si>
  <si>
    <t xml:space="preserve">Earnings Subject to Deemed Distribution </t>
  </si>
  <si>
    <t>Year 2024</t>
  </si>
  <si>
    <t>Year 2025</t>
  </si>
  <si>
    <t>Considered distributed on 31.12.2026</t>
  </si>
  <si>
    <t>Considered distributed on 31.12.2027</t>
  </si>
  <si>
    <t>Total</t>
  </si>
  <si>
    <t>Actual Dividend of 100,000 in 2032 (over 6 years)</t>
  </si>
  <si>
    <t>Effective Tax Rate</t>
  </si>
  <si>
    <t>TOTAL</t>
  </si>
  <si>
    <t>Income Tax</t>
  </si>
  <si>
    <t>Special Defense Contribution (at 100% dividend)</t>
  </si>
  <si>
    <t>GeSy (at 100% dividend)</t>
  </si>
  <si>
    <t xml:space="preserve">Taxes / Contributions </t>
  </si>
  <si>
    <t>After Tax Reform</t>
  </si>
  <si>
    <t xml:space="preserve">Before Tax Reform </t>
  </si>
  <si>
    <t>Special Defense Contribution and GeSY</t>
  </si>
  <si>
    <t>Dividend</t>
  </si>
  <si>
    <t>Special Defense Contribution</t>
  </si>
  <si>
    <t>GeSY</t>
  </si>
  <si>
    <t>Net Dividend Amount</t>
  </si>
  <si>
    <t>YEAR 2026</t>
  </si>
  <si>
    <t>Taxable income</t>
  </si>
  <si>
    <t>Net profit to be distributed</t>
  </si>
  <si>
    <t xml:space="preserve">After Tax Reform </t>
  </si>
  <si>
    <t>Before Tax Reform</t>
  </si>
  <si>
    <t>Disposal of a Property - Apartment</t>
  </si>
  <si>
    <t>After the tax reform</t>
  </si>
  <si>
    <t>Before the tax reform</t>
  </si>
  <si>
    <t>Sale</t>
  </si>
  <si>
    <t>Cost</t>
  </si>
  <si>
    <t>Profit</t>
  </si>
  <si>
    <t>Lifetime exemption</t>
  </si>
  <si>
    <t>Taxable profit</t>
  </si>
  <si>
    <t>Savings</t>
  </si>
  <si>
    <t>Taxable Income (Euro)</t>
  </si>
  <si>
    <t>Accumulated Tax</t>
  </si>
  <si>
    <t>Dependent Children*</t>
  </si>
  <si>
    <t>For the first</t>
  </si>
  <si>
    <t>For the second</t>
  </si>
  <si>
    <t>For the third and each additional</t>
  </si>
  <si>
    <t>Total Family Income</t>
  </si>
  <si>
    <t>With 1 or 2 children</t>
  </si>
  <si>
    <t>With 3 or 4 children</t>
  </si>
  <si>
    <t>With 5 or more children</t>
  </si>
  <si>
    <t>Euro</t>
  </si>
  <si>
    <r>
      <t xml:space="preserve">Discount for </t>
    </r>
    <r>
      <rPr>
        <u/>
        <sz val="11"/>
        <color theme="1"/>
        <rFont val="Aptos Narrow"/>
        <family val="2"/>
        <scheme val="minor"/>
      </rPr>
      <t>each</t>
    </r>
    <r>
      <rPr>
        <sz val="11"/>
        <color theme="1"/>
        <rFont val="Aptos Narrow"/>
        <family val="2"/>
        <scheme val="minor"/>
      </rPr>
      <t xml:space="preserve"> parent</t>
    </r>
  </si>
  <si>
    <t>As of December 31 of the tax year*</t>
  </si>
  <si>
    <t>Over 72.000</t>
  </si>
  <si>
    <t>Code</t>
  </si>
  <si>
    <t>Description</t>
  </si>
  <si>
    <t>Membership fees for trade unions and/or professional bodies</t>
  </si>
  <si>
    <t>Discount for first-time employment</t>
  </si>
  <si>
    <t>Home insurance against natural disasters (up to €500)</t>
  </si>
  <si>
    <t>Deductions for rented properties (capital deductions, interest, 20% of gross rent)</t>
  </si>
  <si>
    <t>Other deductions</t>
  </si>
  <si>
    <t>INTERIM CALCULATION [A8 – (total B1..B5)]</t>
  </si>
  <si>
    <t>Pension, welfare, health, and social security funds &amp; health insurance premiums</t>
  </si>
  <si>
    <t>Employee contributions to the National Health System</t>
  </si>
  <si>
    <t>Life/disability insurance premiums</t>
  </si>
  <si>
    <t>Deductions for dependent children</t>
  </si>
  <si>
    <t>Deduction for main residence rent or mortgage interest</t>
  </si>
  <si>
    <t>Deduction for energy upgrade or purchase of solar panels</t>
  </si>
  <si>
    <t>Investment expenses in innovative businesses</t>
  </si>
  <si>
    <t>TOTAL DEDUCTIONS (B1..B13, ignoring B6)</t>
  </si>
  <si>
    <t>TAXABLE INCOME WITH STANDARD RATES [A8 – B15]</t>
  </si>
  <si>
    <t xml:space="preserve">PART B. DISCOUNTS AND DEDUCTIONS			</t>
  </si>
  <si>
    <t>Amount (Employee)</t>
  </si>
  <si>
    <t>Amount (Employer)</t>
  </si>
  <si>
    <t>Subject to the 1/5 restriction of B6</t>
  </si>
  <si>
    <t>PART C. TAX CALCULATION</t>
  </si>
  <si>
    <t>Tax</t>
  </si>
  <si>
    <t>Income Scale (€)</t>
  </si>
  <si>
    <t>Contributor</t>
  </si>
  <si>
    <t>TAX on taxable income</t>
  </si>
  <si>
    <t>TAX to be deducted (formula on the form)</t>
  </si>
  <si>
    <t>Income Tax Deduction: Monthly (C2÷13 or C2÷12) / Weekly (C2÷52)</t>
  </si>
  <si>
    <t>Annual GESY deduction (2.65% in A2, A9a, A10a up to annual limit)</t>
  </si>
  <si>
    <t>C1</t>
  </si>
  <si>
    <t>C2</t>
  </si>
  <si>
    <t>C3</t>
  </si>
  <si>
    <t>C4</t>
  </si>
  <si>
    <t>P.O.59 – Declaration for Claiming Tax Deductions (2026) – Income Tax</t>
  </si>
  <si>
    <t>Employee Details</t>
  </si>
  <si>
    <t>Employee Name* SOFIA</t>
  </si>
  <si>
    <t>A.K.A.*</t>
  </si>
  <si>
    <t>Home Address*</t>
  </si>
  <si>
    <t>Email Address*</t>
  </si>
  <si>
    <t>Tax Identification Number (TIN)*</t>
  </si>
  <si>
    <t>Phone Number*</t>
  </si>
  <si>
    <t>A1</t>
  </si>
  <si>
    <t>A2</t>
  </si>
  <si>
    <t>A3</t>
  </si>
  <si>
    <t>A4</t>
  </si>
  <si>
    <t>A5</t>
  </si>
  <si>
    <t>A6</t>
  </si>
  <si>
    <t>A7</t>
  </si>
  <si>
    <t>A8</t>
  </si>
  <si>
    <t>A9a</t>
  </si>
  <si>
    <t>A9b</t>
  </si>
  <si>
    <t>A10a</t>
  </si>
  <si>
    <t>A10b</t>
  </si>
  <si>
    <t>Employee services and benefits included in YKA remuneration</t>
  </si>
  <si>
    <t>Benefits/amounts not included in YKA remuneration</t>
  </si>
  <si>
    <t>Other income (e.g., previous employment, pensions, rent, interest, dividends)</t>
  </si>
  <si>
    <t>Gross rent</t>
  </si>
  <si>
    <t>Income from other sources</t>
  </si>
  <si>
    <t>TOTAL INCOME</t>
  </si>
  <si>
    <t>Less: Income not subject to tax</t>
  </si>
  <si>
    <t>TOTAL TAXABLE INCOME [A6 – A7]</t>
  </si>
  <si>
    <t>Widow's pension from employer (separate taxation option)</t>
  </si>
  <si>
    <t>Widow's pension amount from YKA</t>
  </si>
  <si>
    <t>OEE/OSEKA income with a special rate of 8% (outside YKA)</t>
  </si>
  <si>
    <t>OEE/OSEKA income with a special rate of 8% (within YKA)</t>
  </si>
  <si>
    <t>USE BY EMPLOYERS</t>
  </si>
  <si>
    <t>Membership fees for trade unions and/or professional associations</t>
  </si>
  <si>
    <t xml:space="preserve">PART C. TAX CALCULATION			</t>
  </si>
  <si>
    <t>TAX to be deducted (form on the form)</t>
  </si>
  <si>
    <t>Income Tax Deduction: Monthly</t>
  </si>
  <si>
    <t>Annual GESY deduction (2.65% on A2, A9a, A10a up to annual limit)</t>
  </si>
  <si>
    <t>Type of Tax/Contributions</t>
  </si>
  <si>
    <t>Social Security Contributions</t>
  </si>
  <si>
    <t>GeSY (Salary and Rent 2.65%)</t>
  </si>
  <si>
    <t>Indexed purchase cost + capital discounts</t>
  </si>
  <si>
    <t xml:space="preserve">SDC on 2025 profits </t>
  </si>
  <si>
    <t>SDC on 2024 profits</t>
  </si>
  <si>
    <t>SDC</t>
  </si>
  <si>
    <t>Deemed Dividend</t>
  </si>
  <si>
    <t>Minus deemed dividend</t>
  </si>
  <si>
    <t xml:space="preserve">Dividend subject to SDC at 5% </t>
  </si>
  <si>
    <t>Total SDC</t>
  </si>
  <si>
    <t>CGT@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</si>
</sst>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alibri"/>
      <family val="2"/>
      <charset val="161"/>
    </font>
    <font>
      <b/>
      <sz val="11"/>
      <color rgb="FFFFFFFF"/>
      <name val="Calibri"/>
      <family val="2"/>
      <charset val="161"/>
    </font>
    <font>
      <b/>
      <sz val="11"/>
      <name val="Calibri"/>
      <family val="2"/>
      <charset val="161"/>
    </font>
    <font>
      <b/>
      <sz val="11"/>
      <color theme="1"/>
      <name val="Aptos Narrow"/>
      <family val="2"/>
      <charset val="161"/>
      <scheme val="minor"/>
    </font>
    <font>
      <b/>
      <sz val="11"/>
      <color rgb="FF00B05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rgb="FF003366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0" fillId="2" borderId="0" xfId="0" applyFill="1" applyAlignment="1">
      <alignment horizontal="center" vertical="center" wrapText="1"/>
    </xf>
    <xf numFmtId="0" fontId="3" fillId="0" borderId="0" xfId="0" applyFont="1"/>
    <xf numFmtId="164" fontId="0" fillId="0" borderId="0" xfId="1" applyNumberFormat="1" applyFont="1"/>
    <xf numFmtId="3" fontId="0" fillId="0" borderId="0" xfId="0" applyNumberFormat="1"/>
    <xf numFmtId="0" fontId="0" fillId="0" borderId="0" xfId="0" applyAlignment="1">
      <alignment vertical="top" wrapText="1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0" fillId="5" borderId="0" xfId="0" applyFill="1" applyAlignment="1">
      <alignment vertical="top" wrapText="1"/>
    </xf>
    <xf numFmtId="0" fontId="4" fillId="0" borderId="0" xfId="0" applyFont="1" applyAlignment="1">
      <alignment vertical="top" wrapText="1"/>
    </xf>
    <xf numFmtId="43" fontId="0" fillId="0" borderId="0" xfId="1" applyFont="1"/>
    <xf numFmtId="43" fontId="8" fillId="0" borderId="0" xfId="0" applyNumberFormat="1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top" wrapText="1"/>
    </xf>
    <xf numFmtId="43" fontId="0" fillId="0" borderId="0" xfId="0" applyNumberFormat="1"/>
    <xf numFmtId="43" fontId="4" fillId="0" borderId="0" xfId="1" applyFont="1"/>
    <xf numFmtId="43" fontId="4" fillId="0" borderId="0" xfId="0" applyNumberFormat="1" applyFont="1"/>
    <xf numFmtId="43" fontId="4" fillId="5" borderId="0" xfId="0" applyNumberFormat="1" applyFont="1" applyFill="1"/>
    <xf numFmtId="43" fontId="0" fillId="6" borderId="0" xfId="0" applyNumberFormat="1" applyFill="1"/>
    <xf numFmtId="0" fontId="9" fillId="0" borderId="0" xfId="0" applyFont="1" applyAlignment="1">
      <alignment horizontal="right"/>
    </xf>
    <xf numFmtId="0" fontId="0" fillId="7" borderId="0" xfId="0" applyFill="1"/>
    <xf numFmtId="43" fontId="0" fillId="7" borderId="0" xfId="0" applyNumberFormat="1" applyFill="1"/>
    <xf numFmtId="0" fontId="7" fillId="0" borderId="1" xfId="0" applyFont="1" applyBorder="1" applyAlignment="1">
      <alignment wrapText="1"/>
    </xf>
    <xf numFmtId="0" fontId="0" fillId="0" borderId="0" xfId="0" applyAlignment="1">
      <alignment wrapText="1"/>
    </xf>
    <xf numFmtId="43" fontId="8" fillId="0" borderId="0" xfId="1" applyFont="1"/>
    <xf numFmtId="43" fontId="0" fillId="2" borderId="0" xfId="1" applyFont="1" applyFill="1"/>
    <xf numFmtId="43" fontId="0" fillId="5" borderId="0" xfId="1" applyFont="1" applyFill="1"/>
    <xf numFmtId="0" fontId="4" fillId="0" borderId="0" xfId="0" applyFont="1"/>
    <xf numFmtId="43" fontId="0" fillId="0" borderId="0" xfId="1" applyFont="1" applyBorder="1"/>
    <xf numFmtId="43" fontId="0" fillId="0" borderId="3" xfId="1" applyFont="1" applyBorder="1"/>
    <xf numFmtId="0" fontId="4" fillId="7" borderId="4" xfId="0" applyFont="1" applyFill="1" applyBorder="1" applyAlignment="1">
      <alignment wrapText="1"/>
    </xf>
    <xf numFmtId="0" fontId="4" fillId="7" borderId="5" xfId="0" applyFont="1" applyFill="1" applyBorder="1" applyAlignment="1">
      <alignment wrapText="1"/>
    </xf>
    <xf numFmtId="43" fontId="4" fillId="0" borderId="4" xfId="0" applyNumberFormat="1" applyFont="1" applyBorder="1"/>
    <xf numFmtId="43" fontId="4" fillId="0" borderId="5" xfId="0" applyNumberFormat="1" applyFont="1" applyBorder="1"/>
    <xf numFmtId="0" fontId="4" fillId="7" borderId="6" xfId="0" applyFont="1" applyFill="1" applyBorder="1" applyAlignment="1">
      <alignment wrapText="1"/>
    </xf>
    <xf numFmtId="0" fontId="0" fillId="0" borderId="7" xfId="0" applyBorder="1"/>
    <xf numFmtId="43" fontId="0" fillId="0" borderId="7" xfId="1" applyFont="1" applyBorder="1"/>
    <xf numFmtId="43" fontId="4" fillId="0" borderId="8" xfId="0" applyNumberFormat="1" applyFont="1" applyBorder="1"/>
    <xf numFmtId="43" fontId="0" fillId="0" borderId="6" xfId="1" applyFont="1" applyBorder="1"/>
    <xf numFmtId="43" fontId="0" fillId="0" borderId="8" xfId="1" applyFont="1" applyBorder="1"/>
    <xf numFmtId="0" fontId="4" fillId="7" borderId="2" xfId="0" applyFont="1" applyFill="1" applyBorder="1" applyAlignment="1">
      <alignment wrapText="1"/>
    </xf>
    <xf numFmtId="0" fontId="4" fillId="0" borderId="2" xfId="0" applyFont="1" applyBorder="1"/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10" fontId="0" fillId="0" borderId="0" xfId="0" applyNumberFormat="1"/>
    <xf numFmtId="0" fontId="10" fillId="0" borderId="0" xfId="0" applyFont="1"/>
    <xf numFmtId="9" fontId="11" fillId="0" borderId="0" xfId="0" applyNumberFormat="1" applyFont="1"/>
    <xf numFmtId="10" fontId="11" fillId="0" borderId="0" xfId="0" applyNumberFormat="1" applyFont="1"/>
    <xf numFmtId="0" fontId="4" fillId="2" borderId="0" xfId="0" applyFont="1" applyFill="1" applyAlignment="1">
      <alignment horizontal="center" vertical="top" wrapText="1"/>
    </xf>
    <xf numFmtId="9" fontId="0" fillId="5" borderId="0" xfId="2" applyFont="1" applyFill="1"/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3" fontId="0" fillId="3" borderId="2" xfId="1" applyFont="1" applyFill="1" applyBorder="1" applyAlignment="1">
      <alignment horizontal="center"/>
    </xf>
    <xf numFmtId="164" fontId="0" fillId="3" borderId="2" xfId="1" applyNumberFormat="1" applyFont="1" applyFill="1" applyBorder="1" applyAlignment="1">
      <alignment horizontal="center"/>
    </xf>
    <xf numFmtId="0" fontId="0" fillId="3" borderId="2" xfId="0" applyFill="1" applyBorder="1"/>
    <xf numFmtId="0" fontId="0" fillId="0" borderId="0" xfId="0"/>
    <xf numFmtId="0" fontId="5" fillId="0" borderId="0" xfId="0" applyFont="1" applyAlignment="1">
      <alignment horizontal="center"/>
    </xf>
    <xf numFmtId="0" fontId="6" fillId="4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7" fillId="0" borderId="1" xfId="0" applyFont="1" applyBorder="1" applyAlignment="1">
      <alignment wrapText="1"/>
    </xf>
    <xf numFmtId="0" fontId="12" fillId="0" borderId="0" xfId="3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8</xdr:col>
      <xdr:colOff>6350</xdr:colOff>
      <xdr:row>13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CFABF5-2BD6-2AF0-4DC4-CE60E345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780" y="1661160"/>
          <a:ext cx="2749550" cy="93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11</xdr:col>
      <xdr:colOff>6350</xdr:colOff>
      <xdr:row>13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FAB1CF-338A-C9DF-D936-95DDDD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5100" y="1676400"/>
          <a:ext cx="2825750" cy="94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CGT@%2020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7DD8-FAFD-44CA-8D4C-4F540457FE18}">
  <dimension ref="A1:H64"/>
  <sheetViews>
    <sheetView topLeftCell="A31" workbookViewId="0">
      <selection activeCell="F55" sqref="F55"/>
    </sheetView>
  </sheetViews>
  <sheetFormatPr defaultRowHeight="14.5" x14ac:dyDescent="0.35"/>
  <cols>
    <col min="1" max="1" width="22.1796875" bestFit="1" customWidth="1"/>
    <col min="2" max="2" width="61.81640625" bestFit="1" customWidth="1"/>
    <col min="3" max="4" width="20" customWidth="1"/>
    <col min="5" max="5" width="14" customWidth="1"/>
    <col min="6" max="6" width="9.1796875" bestFit="1" customWidth="1"/>
    <col min="7" max="7" width="9.81640625" bestFit="1" customWidth="1"/>
    <col min="14" max="14" width="8.81640625" customWidth="1"/>
  </cols>
  <sheetData>
    <row r="1" spans="1:4" ht="18.5" x14ac:dyDescent="0.45">
      <c r="A1" s="62" t="s">
        <v>161</v>
      </c>
      <c r="B1" s="61"/>
      <c r="C1" s="61"/>
      <c r="D1" s="61"/>
    </row>
    <row r="2" spans="1:4" x14ac:dyDescent="0.35">
      <c r="A2" s="63" t="s">
        <v>162</v>
      </c>
      <c r="B2" s="64"/>
      <c r="C2" s="64"/>
      <c r="D2" s="64"/>
    </row>
    <row r="3" spans="1:4" ht="14.4" customHeight="1" x14ac:dyDescent="0.35">
      <c r="A3" s="23" t="s">
        <v>163</v>
      </c>
      <c r="B3" s="24"/>
      <c r="C3" s="24"/>
      <c r="D3" s="24"/>
    </row>
    <row r="4" spans="1:4" x14ac:dyDescent="0.35">
      <c r="A4" s="23" t="s">
        <v>164</v>
      </c>
      <c r="B4" s="24"/>
      <c r="C4" s="24"/>
      <c r="D4" s="24"/>
    </row>
    <row r="5" spans="1:4" x14ac:dyDescent="0.35">
      <c r="A5" s="23" t="s">
        <v>165</v>
      </c>
      <c r="B5" s="24"/>
      <c r="C5" s="24"/>
      <c r="D5" s="24"/>
    </row>
    <row r="6" spans="1:4" ht="14.4" customHeight="1" x14ac:dyDescent="0.35">
      <c r="A6" s="23" t="s">
        <v>166</v>
      </c>
      <c r="B6" s="24"/>
      <c r="C6" s="24"/>
      <c r="D6" s="24"/>
    </row>
    <row r="7" spans="1:4" ht="14.4" customHeight="1" x14ac:dyDescent="0.35">
      <c r="A7" s="23" t="s">
        <v>167</v>
      </c>
      <c r="B7" s="24"/>
      <c r="C7" s="24"/>
      <c r="D7" s="24"/>
    </row>
    <row r="8" spans="1:4" x14ac:dyDescent="0.35">
      <c r="A8" s="23" t="s">
        <v>168</v>
      </c>
      <c r="B8" s="24"/>
      <c r="C8" s="24"/>
      <c r="D8" s="24"/>
    </row>
    <row r="9" spans="1:4" x14ac:dyDescent="0.35">
      <c r="B9" s="5"/>
    </row>
    <row r="10" spans="1:4" x14ac:dyDescent="0.35">
      <c r="A10" s="65" t="s">
        <v>13</v>
      </c>
      <c r="B10" s="66"/>
      <c r="C10" s="61"/>
      <c r="D10" s="61"/>
    </row>
    <row r="11" spans="1:4" x14ac:dyDescent="0.35">
      <c r="A11" s="6" t="s">
        <v>128</v>
      </c>
      <c r="B11" s="7" t="s">
        <v>129</v>
      </c>
      <c r="C11" s="6" t="s">
        <v>146</v>
      </c>
      <c r="D11" s="6" t="s">
        <v>193</v>
      </c>
    </row>
    <row r="12" spans="1:4" x14ac:dyDescent="0.35">
      <c r="A12" s="8" t="s">
        <v>169</v>
      </c>
      <c r="B12" s="5" t="s">
        <v>181</v>
      </c>
      <c r="D12" s="11">
        <v>30000</v>
      </c>
    </row>
    <row r="13" spans="1:4" x14ac:dyDescent="0.35">
      <c r="A13" s="8" t="s">
        <v>170</v>
      </c>
      <c r="B13" s="5" t="s">
        <v>182</v>
      </c>
    </row>
    <row r="14" spans="1:4" ht="29" x14ac:dyDescent="0.35">
      <c r="A14" s="8" t="s">
        <v>171</v>
      </c>
      <c r="B14" s="5" t="s">
        <v>183</v>
      </c>
    </row>
    <row r="15" spans="1:4" x14ac:dyDescent="0.35">
      <c r="A15" s="8" t="s">
        <v>172</v>
      </c>
      <c r="B15" s="5" t="s">
        <v>184</v>
      </c>
      <c r="C15" s="11">
        <v>10000</v>
      </c>
      <c r="D15" s="11">
        <v>10000</v>
      </c>
    </row>
    <row r="16" spans="1:4" x14ac:dyDescent="0.35">
      <c r="A16" s="8" t="s">
        <v>173</v>
      </c>
      <c r="B16" s="5" t="s">
        <v>185</v>
      </c>
    </row>
    <row r="17" spans="1:4" x14ac:dyDescent="0.35">
      <c r="A17" s="8" t="s">
        <v>174</v>
      </c>
      <c r="B17" s="10" t="s">
        <v>186</v>
      </c>
      <c r="D17" s="12">
        <f>SUM(D12:D16)</f>
        <v>40000</v>
      </c>
    </row>
    <row r="18" spans="1:4" x14ac:dyDescent="0.35">
      <c r="A18" s="8" t="s">
        <v>175</v>
      </c>
      <c r="B18" s="5" t="s">
        <v>187</v>
      </c>
    </row>
    <row r="19" spans="1:4" x14ac:dyDescent="0.35">
      <c r="A19" s="8" t="s">
        <v>176</v>
      </c>
      <c r="B19" s="10" t="s">
        <v>188</v>
      </c>
      <c r="D19" s="12">
        <f>D17-D18</f>
        <v>40000</v>
      </c>
    </row>
    <row r="20" spans="1:4" x14ac:dyDescent="0.35">
      <c r="A20" s="8" t="s">
        <v>177</v>
      </c>
      <c r="B20" s="5" t="s">
        <v>189</v>
      </c>
    </row>
    <row r="21" spans="1:4" x14ac:dyDescent="0.35">
      <c r="A21" s="8" t="s">
        <v>178</v>
      </c>
      <c r="B21" s="5" t="s">
        <v>190</v>
      </c>
    </row>
    <row r="22" spans="1:4" x14ac:dyDescent="0.35">
      <c r="A22" s="8" t="s">
        <v>179</v>
      </c>
      <c r="B22" s="5" t="s">
        <v>191</v>
      </c>
    </row>
    <row r="23" spans="1:4" x14ac:dyDescent="0.35">
      <c r="A23" s="8" t="s">
        <v>180</v>
      </c>
      <c r="B23" s="5" t="s">
        <v>192</v>
      </c>
    </row>
    <row r="24" spans="1:4" x14ac:dyDescent="0.35">
      <c r="A24" s="8"/>
      <c r="B24" s="5"/>
    </row>
    <row r="25" spans="1:4" x14ac:dyDescent="0.35">
      <c r="A25" s="65" t="s">
        <v>145</v>
      </c>
      <c r="B25" s="66"/>
      <c r="C25" s="61"/>
      <c r="D25" s="61"/>
    </row>
    <row r="26" spans="1:4" x14ac:dyDescent="0.35">
      <c r="A26" s="6" t="s">
        <v>128</v>
      </c>
      <c r="B26" s="7" t="s">
        <v>129</v>
      </c>
      <c r="C26" s="6" t="s">
        <v>146</v>
      </c>
      <c r="D26" s="6" t="s">
        <v>147</v>
      </c>
    </row>
    <row r="27" spans="1:4" x14ac:dyDescent="0.35">
      <c r="A27" s="8" t="s">
        <v>41</v>
      </c>
      <c r="B27" s="5" t="s">
        <v>194</v>
      </c>
      <c r="C27" s="11">
        <v>350</v>
      </c>
      <c r="D27" s="11">
        <v>500</v>
      </c>
    </row>
    <row r="28" spans="1:4" x14ac:dyDescent="0.35">
      <c r="A28" s="8" t="s">
        <v>42</v>
      </c>
      <c r="B28" s="5" t="s">
        <v>131</v>
      </c>
      <c r="C28" s="11"/>
      <c r="D28" s="11"/>
    </row>
    <row r="29" spans="1:4" x14ac:dyDescent="0.35">
      <c r="A29" s="8" t="s">
        <v>43</v>
      </c>
      <c r="B29" s="9" t="s">
        <v>132</v>
      </c>
      <c r="C29" s="11">
        <v>500</v>
      </c>
      <c r="D29" s="11">
        <v>500</v>
      </c>
    </row>
    <row r="30" spans="1:4" ht="29" x14ac:dyDescent="0.35">
      <c r="A30" s="8" t="s">
        <v>44</v>
      </c>
      <c r="B30" s="5" t="s">
        <v>133</v>
      </c>
      <c r="C30" s="11">
        <f>2000+1000</f>
        <v>3000</v>
      </c>
      <c r="D30" s="11">
        <v>3000</v>
      </c>
    </row>
    <row r="31" spans="1:4" x14ac:dyDescent="0.35">
      <c r="A31" s="8" t="s">
        <v>45</v>
      </c>
      <c r="B31" s="5" t="s">
        <v>134</v>
      </c>
      <c r="C31" s="11">
        <v>300</v>
      </c>
      <c r="D31" s="11">
        <v>300</v>
      </c>
    </row>
    <row r="32" spans="1:4" x14ac:dyDescent="0.35">
      <c r="A32" s="8" t="s">
        <v>46</v>
      </c>
      <c r="B32" s="10" t="s">
        <v>135</v>
      </c>
      <c r="C32" s="11"/>
      <c r="D32" s="25">
        <f>D19-D27-D28-D29-D30-D31</f>
        <v>35700</v>
      </c>
    </row>
    <row r="33" spans="1:8" x14ac:dyDescent="0.35">
      <c r="A33" s="8"/>
      <c r="B33" s="10"/>
      <c r="C33" s="11"/>
      <c r="D33" s="25"/>
    </row>
    <row r="34" spans="1:8" ht="29" x14ac:dyDescent="0.35">
      <c r="A34" s="13" t="s">
        <v>47</v>
      </c>
      <c r="B34" s="14" t="s">
        <v>136</v>
      </c>
      <c r="C34" s="26">
        <f>0.088*D12</f>
        <v>2640</v>
      </c>
      <c r="D34" s="11"/>
      <c r="E34" s="21" t="s">
        <v>148</v>
      </c>
      <c r="F34" s="21"/>
      <c r="G34" s="21"/>
      <c r="H34" s="21"/>
    </row>
    <row r="35" spans="1:8" x14ac:dyDescent="0.35">
      <c r="A35" s="13" t="s">
        <v>48</v>
      </c>
      <c r="B35" s="14" t="s">
        <v>137</v>
      </c>
      <c r="C35" s="26">
        <f>D12*0.0265+C15*0.0265</f>
        <v>1060</v>
      </c>
      <c r="D35" s="11"/>
      <c r="E35" s="22">
        <f>D32*0.2</f>
        <v>7140</v>
      </c>
      <c r="F35" s="21" t="s">
        <v>71</v>
      </c>
    </row>
    <row r="36" spans="1:8" x14ac:dyDescent="0.35">
      <c r="A36" s="13" t="s">
        <v>49</v>
      </c>
      <c r="B36" s="14" t="s">
        <v>138</v>
      </c>
      <c r="C36" s="26">
        <v>1000</v>
      </c>
      <c r="D36" s="11"/>
    </row>
    <row r="37" spans="1:8" x14ac:dyDescent="0.35">
      <c r="A37" s="8" t="s">
        <v>50</v>
      </c>
      <c r="B37" s="9" t="s">
        <v>139</v>
      </c>
      <c r="C37" s="11">
        <v>2250</v>
      </c>
      <c r="D37" s="11"/>
    </row>
    <row r="38" spans="1:8" x14ac:dyDescent="0.35">
      <c r="A38" s="8" t="s">
        <v>51</v>
      </c>
      <c r="B38" s="9" t="s">
        <v>140</v>
      </c>
      <c r="C38" s="11">
        <v>1500</v>
      </c>
      <c r="D38" s="11"/>
    </row>
    <row r="39" spans="1:8" x14ac:dyDescent="0.35">
      <c r="A39" s="8" t="s">
        <v>52</v>
      </c>
      <c r="B39" s="9" t="s">
        <v>141</v>
      </c>
      <c r="C39" s="11">
        <v>1000</v>
      </c>
      <c r="D39" s="11"/>
    </row>
    <row r="40" spans="1:8" x14ac:dyDescent="0.35">
      <c r="A40" s="8" t="s">
        <v>53</v>
      </c>
      <c r="B40" s="5" t="s">
        <v>142</v>
      </c>
      <c r="C40" s="11"/>
      <c r="D40" s="11"/>
    </row>
    <row r="41" spans="1:8" x14ac:dyDescent="0.35">
      <c r="A41" s="8"/>
      <c r="B41" s="5"/>
      <c r="C41" s="11"/>
      <c r="D41" s="11"/>
    </row>
    <row r="42" spans="1:8" x14ac:dyDescent="0.35">
      <c r="A42" s="8" t="s">
        <v>54</v>
      </c>
      <c r="B42" s="10" t="s">
        <v>143</v>
      </c>
      <c r="C42" s="11"/>
      <c r="D42" s="16">
        <f>SUM(C27:C42)</f>
        <v>13600</v>
      </c>
    </row>
    <row r="43" spans="1:8" x14ac:dyDescent="0.35">
      <c r="A43" s="8" t="s">
        <v>55</v>
      </c>
      <c r="B43" s="10" t="s">
        <v>144</v>
      </c>
      <c r="C43" s="11"/>
      <c r="D43" s="27">
        <f>D19-D42</f>
        <v>26400</v>
      </c>
    </row>
    <row r="44" spans="1:8" x14ac:dyDescent="0.35">
      <c r="B44" s="5"/>
    </row>
    <row r="45" spans="1:8" x14ac:dyDescent="0.35">
      <c r="A45" s="65" t="s">
        <v>195</v>
      </c>
      <c r="B45" s="66"/>
      <c r="C45" s="61"/>
      <c r="D45" s="61"/>
    </row>
    <row r="46" spans="1:8" x14ac:dyDescent="0.35">
      <c r="A46" s="6" t="s">
        <v>151</v>
      </c>
      <c r="B46" s="7" t="s">
        <v>152</v>
      </c>
      <c r="C46" s="6"/>
      <c r="D46" s="6" t="s">
        <v>150</v>
      </c>
    </row>
    <row r="47" spans="1:8" x14ac:dyDescent="0.35">
      <c r="A47" s="8" t="s">
        <v>56</v>
      </c>
      <c r="B47" s="5" t="s">
        <v>57</v>
      </c>
    </row>
    <row r="48" spans="1:8" x14ac:dyDescent="0.35">
      <c r="A48" s="8" t="s">
        <v>58</v>
      </c>
      <c r="B48" s="5" t="s">
        <v>59</v>
      </c>
      <c r="C48" s="15">
        <f>D43-22000</f>
        <v>4400</v>
      </c>
      <c r="D48" s="15">
        <f>B48*C48</f>
        <v>880</v>
      </c>
    </row>
    <row r="49" spans="1:7" x14ac:dyDescent="0.35">
      <c r="A49" s="8" t="s">
        <v>60</v>
      </c>
      <c r="B49" s="5" t="s">
        <v>61</v>
      </c>
    </row>
    <row r="50" spans="1:7" x14ac:dyDescent="0.35">
      <c r="A50" s="8" t="s">
        <v>62</v>
      </c>
      <c r="B50" s="5" t="s">
        <v>63</v>
      </c>
    </row>
    <row r="51" spans="1:7" x14ac:dyDescent="0.35">
      <c r="A51" s="8" t="s">
        <v>64</v>
      </c>
      <c r="B51" s="5" t="s">
        <v>65</v>
      </c>
    </row>
    <row r="52" spans="1:7" x14ac:dyDescent="0.35">
      <c r="A52" s="8" t="s">
        <v>66</v>
      </c>
      <c r="B52" s="5" t="s">
        <v>153</v>
      </c>
      <c r="D52" s="18">
        <f>SUM(D48:D51)</f>
        <v>880</v>
      </c>
      <c r="E52" s="20" t="s">
        <v>77</v>
      </c>
      <c r="F52" s="19">
        <f>'TF59_2026 Previously'!D52-TF59_2026!D52</f>
        <v>1732.5</v>
      </c>
      <c r="G52" s="15"/>
    </row>
    <row r="53" spans="1:7" x14ac:dyDescent="0.35">
      <c r="A53" s="8" t="s">
        <v>67</v>
      </c>
      <c r="B53" s="5" t="s">
        <v>196</v>
      </c>
      <c r="D53" s="17">
        <f>D52*D12/D17</f>
        <v>660</v>
      </c>
    </row>
    <row r="54" spans="1:7" x14ac:dyDescent="0.35">
      <c r="A54" s="8" t="s">
        <v>68</v>
      </c>
      <c r="B54" s="5" t="s">
        <v>197</v>
      </c>
      <c r="D54" s="17">
        <f>D53/12</f>
        <v>55</v>
      </c>
    </row>
    <row r="55" spans="1:7" x14ac:dyDescent="0.35">
      <c r="A55" s="8" t="s">
        <v>69</v>
      </c>
      <c r="B55" s="5" t="s">
        <v>198</v>
      </c>
    </row>
    <row r="58" spans="1:7" x14ac:dyDescent="0.35">
      <c r="B58" s="61" t="s">
        <v>70</v>
      </c>
      <c r="C58" s="61"/>
      <c r="D58" s="61"/>
    </row>
    <row r="59" spans="1:7" x14ac:dyDescent="0.35">
      <c r="B59" s="41" t="s">
        <v>199</v>
      </c>
      <c r="C59" s="31" t="s">
        <v>93</v>
      </c>
      <c r="D59" s="35" t="s">
        <v>104</v>
      </c>
      <c r="E59" s="32" t="s">
        <v>113</v>
      </c>
    </row>
    <row r="60" spans="1:7" x14ac:dyDescent="0.35">
      <c r="B60" s="36" t="s">
        <v>89</v>
      </c>
      <c r="C60" s="29">
        <f>D52</f>
        <v>880</v>
      </c>
      <c r="D60" s="39">
        <f>'TF59_2026 Previously'!D52</f>
        <v>2612.5</v>
      </c>
      <c r="E60" s="30">
        <f>D60-C60</f>
        <v>1732.5</v>
      </c>
    </row>
    <row r="61" spans="1:7" x14ac:dyDescent="0.35">
      <c r="B61" s="36" t="s">
        <v>97</v>
      </c>
      <c r="C61" s="29">
        <v>0</v>
      </c>
      <c r="D61" s="37">
        <f>C15*0.75*0.03</f>
        <v>225</v>
      </c>
      <c r="E61" s="30">
        <f>D61-C61</f>
        <v>225</v>
      </c>
    </row>
    <row r="62" spans="1:7" x14ac:dyDescent="0.35">
      <c r="B62" s="36" t="s">
        <v>200</v>
      </c>
      <c r="C62" s="29">
        <f>C34</f>
        <v>2640</v>
      </c>
      <c r="D62" s="37">
        <f>C34</f>
        <v>2640</v>
      </c>
      <c r="E62" s="30">
        <f>D62-C62</f>
        <v>0</v>
      </c>
    </row>
    <row r="63" spans="1:7" x14ac:dyDescent="0.35">
      <c r="B63" s="36" t="s">
        <v>201</v>
      </c>
      <c r="C63" s="29">
        <f>C35</f>
        <v>1060</v>
      </c>
      <c r="D63" s="40">
        <f>C35</f>
        <v>1060</v>
      </c>
      <c r="E63" s="30">
        <f>D63-C63</f>
        <v>0</v>
      </c>
    </row>
    <row r="64" spans="1:7" x14ac:dyDescent="0.35">
      <c r="B64" s="42" t="s">
        <v>85</v>
      </c>
      <c r="C64" s="33">
        <f>SUM(C60:C63)</f>
        <v>4580</v>
      </c>
      <c r="D64" s="38">
        <f>SUM(D60:D63)</f>
        <v>6537.5</v>
      </c>
      <c r="E64" s="34">
        <f>SUM(E60:E63)</f>
        <v>1957.5</v>
      </c>
    </row>
  </sheetData>
  <mergeCells count="6">
    <mergeCell ref="B58:D58"/>
    <mergeCell ref="A1:D1"/>
    <mergeCell ref="A2:D2"/>
    <mergeCell ref="A10:D10"/>
    <mergeCell ref="A25:D25"/>
    <mergeCell ref="A45:D4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8FEC-A7B5-41B9-B90A-3807BACB5510}">
  <dimension ref="A1:F58"/>
  <sheetViews>
    <sheetView topLeftCell="A36" workbookViewId="0">
      <selection activeCell="D52" sqref="D52"/>
    </sheetView>
  </sheetViews>
  <sheetFormatPr defaultRowHeight="14.5" x14ac:dyDescent="0.35"/>
  <cols>
    <col min="1" max="1" width="22.1796875" bestFit="1" customWidth="1"/>
    <col min="2" max="2" width="62" customWidth="1"/>
    <col min="3" max="4" width="20" customWidth="1"/>
    <col min="5" max="5" width="9.1796875" bestFit="1" customWidth="1"/>
  </cols>
  <sheetData>
    <row r="1" spans="1:4" ht="18.5" x14ac:dyDescent="0.45">
      <c r="A1" s="62" t="s">
        <v>5</v>
      </c>
      <c r="B1" s="61"/>
      <c r="C1" s="61"/>
      <c r="D1" s="61"/>
    </row>
    <row r="2" spans="1:4" x14ac:dyDescent="0.35">
      <c r="A2" s="63" t="s">
        <v>6</v>
      </c>
      <c r="B2" s="64"/>
      <c r="C2" s="64"/>
      <c r="D2" s="64"/>
    </row>
    <row r="3" spans="1:4" x14ac:dyDescent="0.35">
      <c r="A3" s="67" t="s">
        <v>7</v>
      </c>
      <c r="B3" s="64"/>
      <c r="C3" s="64"/>
      <c r="D3" s="64"/>
    </row>
    <row r="4" spans="1:4" x14ac:dyDescent="0.35">
      <c r="A4" s="67" t="s">
        <v>8</v>
      </c>
      <c r="B4" s="64"/>
      <c r="C4" s="64"/>
      <c r="D4" s="64"/>
    </row>
    <row r="5" spans="1:4" x14ac:dyDescent="0.35">
      <c r="A5" s="67" t="s">
        <v>9</v>
      </c>
      <c r="B5" s="64"/>
      <c r="C5" s="64"/>
      <c r="D5" s="64"/>
    </row>
    <row r="6" spans="1:4" x14ac:dyDescent="0.35">
      <c r="A6" s="67" t="s">
        <v>10</v>
      </c>
      <c r="B6" s="64"/>
      <c r="C6" s="64"/>
      <c r="D6" s="64"/>
    </row>
    <row r="7" spans="1:4" x14ac:dyDescent="0.35">
      <c r="A7" s="67" t="s">
        <v>11</v>
      </c>
      <c r="B7" s="64"/>
      <c r="C7" s="64"/>
      <c r="D7" s="64"/>
    </row>
    <row r="8" spans="1:4" x14ac:dyDescent="0.35">
      <c r="A8" s="67" t="s">
        <v>12</v>
      </c>
      <c r="B8" s="64"/>
      <c r="C8" s="64"/>
      <c r="D8" s="64"/>
    </row>
    <row r="9" spans="1:4" x14ac:dyDescent="0.35">
      <c r="B9" s="5"/>
    </row>
    <row r="10" spans="1:4" x14ac:dyDescent="0.35">
      <c r="A10" s="65" t="s">
        <v>13</v>
      </c>
      <c r="B10" s="66"/>
      <c r="C10" s="61"/>
      <c r="D10" s="61"/>
    </row>
    <row r="11" spans="1:4" x14ac:dyDescent="0.35">
      <c r="A11" s="6" t="s">
        <v>14</v>
      </c>
      <c r="B11" s="7" t="s">
        <v>15</v>
      </c>
      <c r="C11" s="6" t="s">
        <v>16</v>
      </c>
      <c r="D11" s="6" t="s">
        <v>78</v>
      </c>
    </row>
    <row r="12" spans="1:4" x14ac:dyDescent="0.35">
      <c r="A12" s="8" t="s">
        <v>17</v>
      </c>
      <c r="B12" s="5" t="s">
        <v>18</v>
      </c>
      <c r="D12" s="11">
        <v>30000</v>
      </c>
    </row>
    <row r="13" spans="1:4" x14ac:dyDescent="0.35">
      <c r="A13" s="8" t="s">
        <v>19</v>
      </c>
      <c r="B13" s="5" t="s">
        <v>20</v>
      </c>
    </row>
    <row r="14" spans="1:4" ht="29" x14ac:dyDescent="0.35">
      <c r="A14" s="8" t="s">
        <v>21</v>
      </c>
      <c r="B14" s="5" t="s">
        <v>22</v>
      </c>
    </row>
    <row r="15" spans="1:4" x14ac:dyDescent="0.35">
      <c r="A15" s="8" t="s">
        <v>23</v>
      </c>
      <c r="B15" s="5" t="s">
        <v>24</v>
      </c>
      <c r="C15" s="11">
        <v>10000</v>
      </c>
      <c r="D15" s="11">
        <v>10000</v>
      </c>
    </row>
    <row r="16" spans="1:4" x14ac:dyDescent="0.35">
      <c r="A16" s="8" t="s">
        <v>25</v>
      </c>
      <c r="B16" s="5" t="s">
        <v>26</v>
      </c>
    </row>
    <row r="17" spans="1:4" x14ac:dyDescent="0.35">
      <c r="A17" s="8" t="s">
        <v>27</v>
      </c>
      <c r="B17" s="5" t="s">
        <v>28</v>
      </c>
      <c r="D17" s="12">
        <f>SUM(D12:D16)</f>
        <v>40000</v>
      </c>
    </row>
    <row r="18" spans="1:4" x14ac:dyDescent="0.35">
      <c r="A18" s="8" t="s">
        <v>29</v>
      </c>
      <c r="B18" s="5" t="s">
        <v>30</v>
      </c>
    </row>
    <row r="19" spans="1:4" x14ac:dyDescent="0.35">
      <c r="A19" s="8" t="s">
        <v>31</v>
      </c>
      <c r="B19" s="10" t="s">
        <v>32</v>
      </c>
      <c r="D19" s="12">
        <f>D17-D18</f>
        <v>40000</v>
      </c>
    </row>
    <row r="20" spans="1:4" x14ac:dyDescent="0.35">
      <c r="A20" s="8" t="s">
        <v>33</v>
      </c>
      <c r="B20" s="5" t="s">
        <v>34</v>
      </c>
    </row>
    <row r="21" spans="1:4" x14ac:dyDescent="0.35">
      <c r="A21" s="8" t="s">
        <v>35</v>
      </c>
      <c r="B21" s="5" t="s">
        <v>36</v>
      </c>
    </row>
    <row r="22" spans="1:4" x14ac:dyDescent="0.35">
      <c r="A22" s="8" t="s">
        <v>37</v>
      </c>
      <c r="B22" s="5" t="s">
        <v>38</v>
      </c>
    </row>
    <row r="23" spans="1:4" x14ac:dyDescent="0.35">
      <c r="A23" s="8" t="s">
        <v>39</v>
      </c>
      <c r="B23" s="5" t="s">
        <v>40</v>
      </c>
    </row>
    <row r="24" spans="1:4" x14ac:dyDescent="0.35">
      <c r="A24" s="8"/>
      <c r="B24" s="5"/>
    </row>
    <row r="25" spans="1:4" x14ac:dyDescent="0.35">
      <c r="A25" s="65" t="s">
        <v>145</v>
      </c>
      <c r="B25" s="66"/>
      <c r="C25" s="61"/>
      <c r="D25" s="61"/>
    </row>
    <row r="26" spans="1:4" x14ac:dyDescent="0.35">
      <c r="A26" s="6" t="s">
        <v>128</v>
      </c>
      <c r="B26" s="7" t="s">
        <v>129</v>
      </c>
      <c r="C26" s="6" t="s">
        <v>146</v>
      </c>
      <c r="D26" s="6" t="s">
        <v>147</v>
      </c>
    </row>
    <row r="27" spans="1:4" x14ac:dyDescent="0.35">
      <c r="A27" s="8" t="s">
        <v>41</v>
      </c>
      <c r="B27" s="5" t="s">
        <v>130</v>
      </c>
      <c r="C27" s="11">
        <v>350</v>
      </c>
      <c r="D27" s="11">
        <v>500</v>
      </c>
    </row>
    <row r="28" spans="1:4" x14ac:dyDescent="0.35">
      <c r="A28" s="8" t="s">
        <v>42</v>
      </c>
      <c r="B28" s="5" t="s">
        <v>131</v>
      </c>
      <c r="C28" s="11"/>
      <c r="D28" s="11"/>
    </row>
    <row r="29" spans="1:4" x14ac:dyDescent="0.35">
      <c r="A29" s="8" t="s">
        <v>43</v>
      </c>
      <c r="B29" s="9" t="s">
        <v>132</v>
      </c>
      <c r="C29" s="11"/>
      <c r="D29" s="11"/>
    </row>
    <row r="30" spans="1:4" ht="29" x14ac:dyDescent="0.35">
      <c r="A30" s="8" t="s">
        <v>44</v>
      </c>
      <c r="B30" s="5" t="s">
        <v>133</v>
      </c>
      <c r="C30" s="11">
        <f>2000+1000</f>
        <v>3000</v>
      </c>
      <c r="D30" s="11">
        <v>3000</v>
      </c>
    </row>
    <row r="31" spans="1:4" x14ac:dyDescent="0.35">
      <c r="A31" s="8" t="s">
        <v>45</v>
      </c>
      <c r="B31" s="5" t="s">
        <v>134</v>
      </c>
      <c r="C31" s="11">
        <v>300</v>
      </c>
      <c r="D31" s="11">
        <v>300</v>
      </c>
    </row>
    <row r="32" spans="1:4" x14ac:dyDescent="0.35">
      <c r="A32" s="8" t="s">
        <v>46</v>
      </c>
      <c r="B32" s="10" t="s">
        <v>135</v>
      </c>
      <c r="C32" s="11"/>
      <c r="D32" s="25">
        <f>D19-D27-D28-D29-D30-D31</f>
        <v>36200</v>
      </c>
    </row>
    <row r="33" spans="1:6" x14ac:dyDescent="0.35">
      <c r="A33" s="8"/>
      <c r="B33" s="10"/>
      <c r="C33" s="11"/>
      <c r="D33" s="25"/>
    </row>
    <row r="34" spans="1:6" ht="29" x14ac:dyDescent="0.35">
      <c r="A34" s="13" t="s">
        <v>47</v>
      </c>
      <c r="B34" s="14" t="s">
        <v>136</v>
      </c>
      <c r="C34" s="26">
        <f>0.088*D12</f>
        <v>2640</v>
      </c>
      <c r="D34" s="11"/>
      <c r="E34" t="s">
        <v>148</v>
      </c>
    </row>
    <row r="35" spans="1:6" x14ac:dyDescent="0.35">
      <c r="A35" s="13" t="s">
        <v>48</v>
      </c>
      <c r="B35" s="14" t="s">
        <v>137</v>
      </c>
      <c r="C35" s="26">
        <f>D12*0.0265+C15*0.0265</f>
        <v>1060</v>
      </c>
      <c r="D35" s="11"/>
      <c r="E35" s="15">
        <f>D32*0.2</f>
        <v>7240</v>
      </c>
      <c r="F35" t="s">
        <v>71</v>
      </c>
    </row>
    <row r="36" spans="1:6" x14ac:dyDescent="0.35">
      <c r="A36" s="13" t="s">
        <v>49</v>
      </c>
      <c r="B36" s="14" t="s">
        <v>138</v>
      </c>
      <c r="C36" s="26">
        <v>1000</v>
      </c>
      <c r="D36" s="11"/>
    </row>
    <row r="37" spans="1:6" x14ac:dyDescent="0.35">
      <c r="A37" s="8" t="s">
        <v>50</v>
      </c>
      <c r="B37" s="9" t="s">
        <v>139</v>
      </c>
      <c r="C37" s="11"/>
      <c r="D37" s="11"/>
    </row>
    <row r="38" spans="1:6" x14ac:dyDescent="0.35">
      <c r="A38" s="8" t="s">
        <v>51</v>
      </c>
      <c r="B38" s="9" t="s">
        <v>140</v>
      </c>
      <c r="C38" s="11"/>
      <c r="D38" s="11"/>
    </row>
    <row r="39" spans="1:6" x14ac:dyDescent="0.35">
      <c r="A39" s="8" t="s">
        <v>52</v>
      </c>
      <c r="B39" s="9" t="s">
        <v>141</v>
      </c>
      <c r="C39" s="11"/>
      <c r="D39" s="11"/>
    </row>
    <row r="40" spans="1:6" x14ac:dyDescent="0.35">
      <c r="A40" s="8" t="s">
        <v>53</v>
      </c>
      <c r="B40" s="5" t="s">
        <v>142</v>
      </c>
      <c r="C40" s="11"/>
      <c r="D40" s="11"/>
    </row>
    <row r="41" spans="1:6" x14ac:dyDescent="0.35">
      <c r="A41" s="8"/>
      <c r="B41" s="5"/>
      <c r="C41" s="11"/>
      <c r="D41" s="11"/>
    </row>
    <row r="42" spans="1:6" x14ac:dyDescent="0.35">
      <c r="A42" s="8" t="s">
        <v>54</v>
      </c>
      <c r="B42" s="10" t="s">
        <v>143</v>
      </c>
      <c r="C42" s="11"/>
      <c r="D42" s="16">
        <f>SUM(C27:C42)</f>
        <v>8350</v>
      </c>
    </row>
    <row r="43" spans="1:6" x14ac:dyDescent="0.35">
      <c r="A43" s="8" t="s">
        <v>55</v>
      </c>
      <c r="B43" s="10" t="s">
        <v>144</v>
      </c>
      <c r="C43" s="11"/>
      <c r="D43" s="27">
        <f>D19-D42</f>
        <v>31650</v>
      </c>
    </row>
    <row r="44" spans="1:6" x14ac:dyDescent="0.35">
      <c r="B44" s="5"/>
    </row>
    <row r="45" spans="1:6" x14ac:dyDescent="0.35">
      <c r="A45" s="65" t="s">
        <v>149</v>
      </c>
      <c r="B45" s="65"/>
      <c r="C45" s="65"/>
      <c r="D45" s="65"/>
    </row>
    <row r="46" spans="1:6" x14ac:dyDescent="0.35">
      <c r="A46" s="6" t="s">
        <v>151</v>
      </c>
      <c r="B46" s="7" t="s">
        <v>152</v>
      </c>
      <c r="C46" s="6"/>
      <c r="D46" s="6" t="s">
        <v>150</v>
      </c>
    </row>
    <row r="47" spans="1:6" x14ac:dyDescent="0.35">
      <c r="A47" s="8" t="s">
        <v>72</v>
      </c>
      <c r="B47" s="5" t="s">
        <v>57</v>
      </c>
    </row>
    <row r="48" spans="1:6" x14ac:dyDescent="0.35">
      <c r="A48" s="8" t="s">
        <v>73</v>
      </c>
      <c r="B48" s="5" t="s">
        <v>59</v>
      </c>
      <c r="C48" s="11">
        <f>28000-19500</f>
        <v>8500</v>
      </c>
      <c r="D48" s="15">
        <f>B48*C48</f>
        <v>1700</v>
      </c>
    </row>
    <row r="49" spans="1:4" x14ac:dyDescent="0.35">
      <c r="A49" s="8" t="s">
        <v>74</v>
      </c>
      <c r="B49" s="5" t="s">
        <v>61</v>
      </c>
      <c r="C49" s="11">
        <f>31650-28000</f>
        <v>3650</v>
      </c>
      <c r="D49" s="15">
        <f>B49*C49</f>
        <v>912.5</v>
      </c>
    </row>
    <row r="50" spans="1:4" x14ac:dyDescent="0.35">
      <c r="A50" s="8" t="s">
        <v>75</v>
      </c>
      <c r="B50" s="5" t="s">
        <v>63</v>
      </c>
    </row>
    <row r="51" spans="1:4" x14ac:dyDescent="0.35">
      <c r="A51" s="8" t="s">
        <v>76</v>
      </c>
      <c r="B51" s="5" t="s">
        <v>65</v>
      </c>
    </row>
    <row r="52" spans="1:4" x14ac:dyDescent="0.35">
      <c r="A52" s="8" t="s">
        <v>157</v>
      </c>
      <c r="B52" s="5" t="s">
        <v>153</v>
      </c>
      <c r="D52" s="18">
        <f>SUM(D48:D51)</f>
        <v>2612.5</v>
      </c>
    </row>
    <row r="53" spans="1:4" x14ac:dyDescent="0.35">
      <c r="A53" s="8" t="s">
        <v>158</v>
      </c>
      <c r="B53" s="5" t="s">
        <v>154</v>
      </c>
      <c r="D53" s="17">
        <f>D52*D12/D17</f>
        <v>1959.375</v>
      </c>
    </row>
    <row r="54" spans="1:4" x14ac:dyDescent="0.35">
      <c r="A54" s="8" t="s">
        <v>159</v>
      </c>
      <c r="B54" s="5" t="s">
        <v>155</v>
      </c>
      <c r="D54" s="17">
        <f>D53/12</f>
        <v>163.28125</v>
      </c>
    </row>
    <row r="55" spans="1:4" x14ac:dyDescent="0.35">
      <c r="A55" s="8" t="s">
        <v>160</v>
      </c>
      <c r="B55" s="5" t="s">
        <v>156</v>
      </c>
    </row>
    <row r="58" spans="1:4" x14ac:dyDescent="0.35">
      <c r="B58" s="61" t="s">
        <v>70</v>
      </c>
      <c r="C58" s="61"/>
      <c r="D58" s="61"/>
    </row>
  </sheetData>
  <mergeCells count="12">
    <mergeCell ref="B58:D58"/>
    <mergeCell ref="A1:D1"/>
    <mergeCell ref="A2:D2"/>
    <mergeCell ref="A3:D3"/>
    <mergeCell ref="A4:D4"/>
    <mergeCell ref="A5:D5"/>
    <mergeCell ref="A6:D6"/>
    <mergeCell ref="A7:D7"/>
    <mergeCell ref="A8:D8"/>
    <mergeCell ref="A10:D10"/>
    <mergeCell ref="A25:D25"/>
    <mergeCell ref="A45:D4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7447-5740-4266-94B1-DFF96C4C7A17}">
  <dimension ref="B2:K7"/>
  <sheetViews>
    <sheetView workbookViewId="0">
      <selection activeCell="E17" sqref="E17"/>
    </sheetView>
  </sheetViews>
  <sheetFormatPr defaultRowHeight="14.5" x14ac:dyDescent="0.35"/>
  <cols>
    <col min="2" max="2" width="14.6328125" customWidth="1"/>
    <col min="3" max="3" width="8.08984375" customWidth="1"/>
    <col min="4" max="4" width="13.81640625" customWidth="1"/>
    <col min="7" max="7" width="27.81640625" bestFit="1" customWidth="1"/>
    <col min="8" max="8" width="12.1796875" customWidth="1"/>
    <col min="10" max="10" width="31.6328125" customWidth="1"/>
  </cols>
  <sheetData>
    <row r="2" spans="2:11" ht="30.5" customHeight="1" x14ac:dyDescent="0.35">
      <c r="B2" s="54" t="s">
        <v>114</v>
      </c>
      <c r="C2" s="55" t="s">
        <v>0</v>
      </c>
      <c r="D2" s="54" t="s">
        <v>115</v>
      </c>
      <c r="G2" s="1" t="s">
        <v>116</v>
      </c>
      <c r="H2" s="1" t="s">
        <v>125</v>
      </c>
      <c r="J2" s="1" t="s">
        <v>120</v>
      </c>
      <c r="K2" s="1" t="s">
        <v>124</v>
      </c>
    </row>
    <row r="3" spans="2:11" x14ac:dyDescent="0.35">
      <c r="B3" s="56" t="s">
        <v>1</v>
      </c>
      <c r="C3" s="57">
        <v>0</v>
      </c>
      <c r="D3" s="58">
        <v>0</v>
      </c>
      <c r="G3" t="s">
        <v>117</v>
      </c>
      <c r="H3" s="3">
        <v>1000</v>
      </c>
      <c r="J3" t="s">
        <v>121</v>
      </c>
      <c r="K3" s="4">
        <v>100000</v>
      </c>
    </row>
    <row r="4" spans="2:11" x14ac:dyDescent="0.35">
      <c r="B4" s="56" t="s">
        <v>2</v>
      </c>
      <c r="C4" s="57">
        <v>20</v>
      </c>
      <c r="D4" s="59">
        <f>0.2*10000</f>
        <v>2000</v>
      </c>
      <c r="G4" t="s">
        <v>118</v>
      </c>
      <c r="H4" s="3">
        <v>1250</v>
      </c>
      <c r="J4" t="s">
        <v>122</v>
      </c>
      <c r="K4" s="4">
        <v>150000</v>
      </c>
    </row>
    <row r="5" spans="2:11" x14ac:dyDescent="0.35">
      <c r="B5" s="56" t="s">
        <v>3</v>
      </c>
      <c r="C5" s="57">
        <v>25</v>
      </c>
      <c r="D5" s="59">
        <v>4500</v>
      </c>
      <c r="G5" t="s">
        <v>119</v>
      </c>
      <c r="H5" s="3">
        <v>1500</v>
      </c>
      <c r="J5" t="s">
        <v>123</v>
      </c>
      <c r="K5" s="4">
        <v>200000</v>
      </c>
    </row>
    <row r="6" spans="2:11" x14ac:dyDescent="0.35">
      <c r="B6" s="56" t="s">
        <v>4</v>
      </c>
      <c r="C6" s="57">
        <v>30</v>
      </c>
      <c r="D6" s="59">
        <v>13500</v>
      </c>
    </row>
    <row r="7" spans="2:11" x14ac:dyDescent="0.35">
      <c r="B7" s="60" t="s">
        <v>127</v>
      </c>
      <c r="C7" s="57">
        <v>35</v>
      </c>
      <c r="D7" s="59"/>
      <c r="G7" s="2" t="s">
        <v>126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952D-DD16-4586-A77D-0C059783B925}">
  <dimension ref="B3:E18"/>
  <sheetViews>
    <sheetView workbookViewId="0">
      <selection activeCell="D18" sqref="D18"/>
    </sheetView>
  </sheetViews>
  <sheetFormatPr defaultRowHeight="14.5" x14ac:dyDescent="0.35"/>
  <cols>
    <col min="2" max="2" width="43.81640625" customWidth="1"/>
    <col min="3" max="3" width="2.1796875" customWidth="1"/>
    <col min="4" max="4" width="14.1796875" customWidth="1"/>
    <col min="5" max="5" width="13.1796875" customWidth="1"/>
  </cols>
  <sheetData>
    <row r="3" spans="2:5" ht="29" x14ac:dyDescent="0.35">
      <c r="B3" s="43" t="s">
        <v>105</v>
      </c>
      <c r="C3" s="14"/>
      <c r="D3" s="44" t="s">
        <v>106</v>
      </c>
      <c r="E3" s="44" t="s">
        <v>107</v>
      </c>
    </row>
    <row r="5" spans="2:5" x14ac:dyDescent="0.35">
      <c r="B5" t="s">
        <v>108</v>
      </c>
      <c r="D5" s="11">
        <v>150000</v>
      </c>
      <c r="E5" s="11">
        <f>D5</f>
        <v>150000</v>
      </c>
    </row>
    <row r="6" spans="2:5" x14ac:dyDescent="0.35">
      <c r="D6" s="11"/>
      <c r="E6" s="11"/>
    </row>
    <row r="7" spans="2:5" x14ac:dyDescent="0.35">
      <c r="B7" t="s">
        <v>109</v>
      </c>
      <c r="D7" s="11">
        <v>-100000</v>
      </c>
      <c r="E7" s="11">
        <v>-100000</v>
      </c>
    </row>
    <row r="8" spans="2:5" x14ac:dyDescent="0.35">
      <c r="B8" t="s">
        <v>202</v>
      </c>
      <c r="D8" s="11"/>
      <c r="E8" s="11"/>
    </row>
    <row r="9" spans="2:5" x14ac:dyDescent="0.35">
      <c r="D9" s="11"/>
      <c r="E9" s="11"/>
    </row>
    <row r="10" spans="2:5" x14ac:dyDescent="0.35">
      <c r="B10" t="s">
        <v>110</v>
      </c>
      <c r="D10" s="11">
        <f>D5+D7</f>
        <v>50000</v>
      </c>
      <c r="E10" s="11">
        <f>E5+E7</f>
        <v>50000</v>
      </c>
    </row>
    <row r="11" spans="2:5" x14ac:dyDescent="0.35">
      <c r="D11" s="11"/>
      <c r="E11" s="11"/>
    </row>
    <row r="12" spans="2:5" x14ac:dyDescent="0.35">
      <c r="B12" t="s">
        <v>111</v>
      </c>
      <c r="D12" s="27">
        <v>-30000</v>
      </c>
      <c r="E12" s="11">
        <v>-17086</v>
      </c>
    </row>
    <row r="13" spans="2:5" x14ac:dyDescent="0.35">
      <c r="D13" s="11"/>
      <c r="E13" s="11"/>
    </row>
    <row r="14" spans="2:5" x14ac:dyDescent="0.35">
      <c r="B14" t="s">
        <v>112</v>
      </c>
      <c r="D14" s="11">
        <f>D10+D12</f>
        <v>20000</v>
      </c>
      <c r="E14" s="11">
        <f>E10+E12</f>
        <v>32914</v>
      </c>
    </row>
    <row r="15" spans="2:5" x14ac:dyDescent="0.35">
      <c r="D15" s="11"/>
      <c r="E15" s="11"/>
    </row>
    <row r="16" spans="2:5" x14ac:dyDescent="0.35">
      <c r="B16" s="68" t="s">
        <v>210</v>
      </c>
      <c r="C16" s="28"/>
      <c r="D16" s="16">
        <f>D14*0.2</f>
        <v>4000</v>
      </c>
      <c r="E16" s="16">
        <f>E14*0.2</f>
        <v>6582.8</v>
      </c>
    </row>
    <row r="18" spans="2:4" x14ac:dyDescent="0.35">
      <c r="B18" s="28" t="s">
        <v>113</v>
      </c>
      <c r="C18" s="28"/>
      <c r="D18" s="17">
        <f>E16-D16</f>
        <v>2582.8000000000002</v>
      </c>
    </row>
  </sheetData>
  <hyperlinks>
    <hyperlink ref="B16" r:id="rId1" xr:uid="{5669DFB3-6193-4DBA-8A71-AB6A68A0F3F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8D4D-D5D5-45C9-BB31-184A55DFE66B}">
  <dimension ref="C4:F43"/>
  <sheetViews>
    <sheetView topLeftCell="A19" workbookViewId="0">
      <selection activeCell="H35" sqref="H35"/>
    </sheetView>
  </sheetViews>
  <sheetFormatPr defaultRowHeight="14.5" x14ac:dyDescent="0.35"/>
  <cols>
    <col min="3" max="3" width="40.1796875" customWidth="1"/>
    <col min="4" max="4" width="7.08984375" customWidth="1"/>
    <col min="5" max="5" width="18.453125" customWidth="1"/>
    <col min="6" max="6" width="16.81640625" customWidth="1"/>
  </cols>
  <sheetData>
    <row r="4" spans="3:6" ht="46" customHeight="1" x14ac:dyDescent="0.35">
      <c r="C4" s="45" t="s">
        <v>100</v>
      </c>
      <c r="E4" s="46" t="s">
        <v>103</v>
      </c>
      <c r="F4" s="46" t="s">
        <v>104</v>
      </c>
    </row>
    <row r="6" spans="3:6" x14ac:dyDescent="0.35">
      <c r="C6" s="28" t="s">
        <v>89</v>
      </c>
    </row>
    <row r="8" spans="3:6" x14ac:dyDescent="0.35">
      <c r="C8" t="s">
        <v>101</v>
      </c>
      <c r="E8" s="11">
        <v>100000</v>
      </c>
      <c r="F8" s="11">
        <v>100000</v>
      </c>
    </row>
    <row r="10" spans="3:6" x14ac:dyDescent="0.35">
      <c r="C10" t="s">
        <v>89</v>
      </c>
      <c r="E10" s="15">
        <f>E8*E11</f>
        <v>15000</v>
      </c>
      <c r="F10" s="15">
        <f>F8*F11</f>
        <v>12500</v>
      </c>
    </row>
    <row r="11" spans="3:6" x14ac:dyDescent="0.35">
      <c r="E11" s="49">
        <v>0.15</v>
      </c>
      <c r="F11" s="50">
        <v>0.125</v>
      </c>
    </row>
    <row r="13" spans="3:6" x14ac:dyDescent="0.35">
      <c r="C13" t="s">
        <v>102</v>
      </c>
      <c r="E13" s="15">
        <f>E8-E10</f>
        <v>85000</v>
      </c>
      <c r="F13" s="15">
        <f>F8-F10</f>
        <v>87500</v>
      </c>
    </row>
    <row r="16" spans="3:6" x14ac:dyDescent="0.35">
      <c r="C16" s="28" t="s">
        <v>95</v>
      </c>
    </row>
    <row r="18" spans="3:6" x14ac:dyDescent="0.35">
      <c r="C18" t="s">
        <v>96</v>
      </c>
      <c r="E18" s="15">
        <f>E13</f>
        <v>85000</v>
      </c>
      <c r="F18" s="15">
        <f>F13</f>
        <v>87500</v>
      </c>
    </row>
    <row r="20" spans="3:6" x14ac:dyDescent="0.35">
      <c r="C20" t="s">
        <v>97</v>
      </c>
      <c r="E20" s="15">
        <f>E18*0.05</f>
        <v>4250</v>
      </c>
      <c r="F20" s="15">
        <f>F18*0.17</f>
        <v>14875.000000000002</v>
      </c>
    </row>
    <row r="21" spans="3:6" x14ac:dyDescent="0.35">
      <c r="E21" s="49">
        <v>0.05</v>
      </c>
      <c r="F21" s="49">
        <v>0.17</v>
      </c>
    </row>
    <row r="23" spans="3:6" x14ac:dyDescent="0.35">
      <c r="C23" t="s">
        <v>98</v>
      </c>
      <c r="E23" s="15">
        <f>E13*0.0265</f>
        <v>2252.5</v>
      </c>
      <c r="F23" s="15">
        <f>F13*0.0265</f>
        <v>2318.75</v>
      </c>
    </row>
    <row r="24" spans="3:6" x14ac:dyDescent="0.35">
      <c r="E24" s="50">
        <v>2.6499999999999999E-2</v>
      </c>
      <c r="F24" s="50">
        <v>2.6499999999999999E-2</v>
      </c>
    </row>
    <row r="25" spans="3:6" x14ac:dyDescent="0.35">
      <c r="E25" s="47"/>
    </row>
    <row r="26" spans="3:6" x14ac:dyDescent="0.35">
      <c r="C26" t="s">
        <v>99</v>
      </c>
      <c r="E26" s="15">
        <f>E18-E20</f>
        <v>80750</v>
      </c>
      <c r="F26" s="15">
        <f>F18-F20</f>
        <v>72625</v>
      </c>
    </row>
    <row r="28" spans="3:6" x14ac:dyDescent="0.35">
      <c r="C28" s="43" t="s">
        <v>92</v>
      </c>
      <c r="D28" s="14"/>
      <c r="E28" s="51" t="s">
        <v>93</v>
      </c>
      <c r="F28" s="51" t="s">
        <v>94</v>
      </c>
    </row>
    <row r="29" spans="3:6" x14ac:dyDescent="0.35">
      <c r="C29" t="s">
        <v>89</v>
      </c>
      <c r="E29" s="15">
        <f>E10</f>
        <v>15000</v>
      </c>
      <c r="F29" s="15">
        <f>F10</f>
        <v>12500</v>
      </c>
    </row>
    <row r="30" spans="3:6" x14ac:dyDescent="0.35">
      <c r="C30" t="s">
        <v>90</v>
      </c>
      <c r="E30" s="15">
        <f>E20</f>
        <v>4250</v>
      </c>
      <c r="F30" s="15">
        <f>F20</f>
        <v>14875.000000000002</v>
      </c>
    </row>
    <row r="31" spans="3:6" x14ac:dyDescent="0.35">
      <c r="C31" t="s">
        <v>91</v>
      </c>
      <c r="E31" s="15">
        <f>E23</f>
        <v>2252.5</v>
      </c>
      <c r="F31" s="15">
        <f>F23</f>
        <v>2318.75</v>
      </c>
    </row>
    <row r="32" spans="3:6" x14ac:dyDescent="0.35">
      <c r="C32" s="28" t="s">
        <v>88</v>
      </c>
      <c r="E32" s="17">
        <f>SUM(E29:E31)</f>
        <v>21502.5</v>
      </c>
      <c r="F32" s="17">
        <f>SUM(F29:F31)</f>
        <v>29693.75</v>
      </c>
    </row>
    <row r="34" spans="3:6" x14ac:dyDescent="0.35">
      <c r="C34" s="28" t="s">
        <v>87</v>
      </c>
      <c r="E34" s="52">
        <f>E32/E8</f>
        <v>0.21502499999999999</v>
      </c>
      <c r="F34" s="52">
        <f>F32/F8</f>
        <v>0.29693750000000002</v>
      </c>
    </row>
    <row r="37" spans="3:6" x14ac:dyDescent="0.35">
      <c r="C37" s="28"/>
    </row>
    <row r="39" spans="3:6" x14ac:dyDescent="0.35">
      <c r="C39" s="8"/>
      <c r="D39" s="5"/>
    </row>
    <row r="40" spans="3:6" x14ac:dyDescent="0.35">
      <c r="C40" s="8"/>
      <c r="D40" s="5"/>
    </row>
    <row r="41" spans="3:6" x14ac:dyDescent="0.35">
      <c r="C41" s="8"/>
      <c r="D41" s="5"/>
    </row>
    <row r="42" spans="3:6" x14ac:dyDescent="0.35">
      <c r="C42" s="8"/>
      <c r="D42" s="5"/>
    </row>
    <row r="43" spans="3:6" x14ac:dyDescent="0.35">
      <c r="C43" s="8"/>
      <c r="D4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CBE3-9469-4679-8BD8-9D552F0EF3D3}">
  <dimension ref="B1:G18"/>
  <sheetViews>
    <sheetView tabSelected="1" workbookViewId="0">
      <selection activeCell="F18" sqref="F18"/>
    </sheetView>
  </sheetViews>
  <sheetFormatPr defaultRowHeight="14.5" x14ac:dyDescent="0.35"/>
  <cols>
    <col min="4" max="4" width="12.6328125" customWidth="1"/>
    <col min="5" max="5" width="17.453125" bestFit="1" customWidth="1"/>
  </cols>
  <sheetData>
    <row r="1" spans="2:7" x14ac:dyDescent="0.35">
      <c r="B1" s="28" t="s">
        <v>79</v>
      </c>
    </row>
    <row r="2" spans="2:7" x14ac:dyDescent="0.35">
      <c r="B2" s="48" t="s">
        <v>80</v>
      </c>
    </row>
    <row r="4" spans="2:7" x14ac:dyDescent="0.35">
      <c r="B4" s="28" t="s">
        <v>81</v>
      </c>
      <c r="C4" s="28" t="s">
        <v>82</v>
      </c>
    </row>
    <row r="5" spans="2:7" x14ac:dyDescent="0.35">
      <c r="B5">
        <v>40000</v>
      </c>
      <c r="C5">
        <v>60000</v>
      </c>
    </row>
    <row r="6" spans="2:7" x14ac:dyDescent="0.35">
      <c r="E6" s="53" t="s">
        <v>206</v>
      </c>
      <c r="F6" s="53" t="s">
        <v>205</v>
      </c>
    </row>
    <row r="7" spans="2:7" x14ac:dyDescent="0.35">
      <c r="B7" t="s">
        <v>204</v>
      </c>
      <c r="E7">
        <f>B5*0.7</f>
        <v>28000</v>
      </c>
      <c r="F7">
        <f>E7*0.17</f>
        <v>4760</v>
      </c>
      <c r="G7" t="s">
        <v>83</v>
      </c>
    </row>
    <row r="8" spans="2:7" x14ac:dyDescent="0.35">
      <c r="B8" t="s">
        <v>203</v>
      </c>
      <c r="E8">
        <f>C5*0.7</f>
        <v>42000</v>
      </c>
      <c r="F8">
        <f>F7*0.7</f>
        <v>3332</v>
      </c>
      <c r="G8" t="s">
        <v>84</v>
      </c>
    </row>
    <row r="9" spans="2:7" x14ac:dyDescent="0.35">
      <c r="B9" s="28" t="s">
        <v>85</v>
      </c>
      <c r="F9" s="28">
        <f>SUM(F7:F8)</f>
        <v>8092</v>
      </c>
      <c r="G9" s="49">
        <v>0.17</v>
      </c>
    </row>
    <row r="11" spans="2:7" x14ac:dyDescent="0.35">
      <c r="B11" s="48" t="s">
        <v>86</v>
      </c>
    </row>
    <row r="13" spans="2:7" x14ac:dyDescent="0.35">
      <c r="B13" t="s">
        <v>96</v>
      </c>
      <c r="E13">
        <v>100000</v>
      </c>
    </row>
    <row r="14" spans="2:7" x14ac:dyDescent="0.35">
      <c r="B14" t="s">
        <v>207</v>
      </c>
      <c r="E14">
        <v>70000</v>
      </c>
    </row>
    <row r="15" spans="2:7" x14ac:dyDescent="0.35">
      <c r="B15" t="s">
        <v>208</v>
      </c>
      <c r="E15" s="28">
        <v>30000</v>
      </c>
    </row>
    <row r="16" spans="2:7" x14ac:dyDescent="0.35">
      <c r="B16" s="28" t="s">
        <v>205</v>
      </c>
      <c r="F16" s="28">
        <f>E15*0.05</f>
        <v>1500</v>
      </c>
    </row>
    <row r="18" spans="2:6" x14ac:dyDescent="0.35">
      <c r="B18" s="28" t="s">
        <v>209</v>
      </c>
      <c r="C18" s="28"/>
      <c r="D18" s="28"/>
      <c r="E18" s="28"/>
      <c r="F18" s="28">
        <f>F16+F9</f>
        <v>9592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TF59_2026</vt:lpstr>
      <vt:lpstr>TF59_2026 Previously</vt:lpstr>
      <vt:lpstr>TABLES</vt:lpstr>
      <vt:lpstr>Apartment Availability</vt:lpstr>
      <vt:lpstr>Company Resident of Cyprus</vt:lpstr>
      <vt:lpstr>PROFITS UNTIL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Constantinos Kounnis</dc:creator>
  <cp:lastModifiedBy>Constantinos Kounnis</cp:lastModifiedBy>
  <dcterms:created xsi:type="dcterms:W3CDTF">2026-01-12T16:17:13Z</dcterms:created>
  <dcterms:modified xsi:type="dcterms:W3CDTF">2026-01-29T14:07:43Z</dcterms:modified>
</cp:coreProperties>
</file>