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Tax Reform\"/>
    </mc:Choice>
  </mc:AlternateContent>
  <xr:revisionPtr revIDLastSave="0" documentId="13_ncr:1_{8751B64A-4ECA-4614-BD3B-29768E996E37}" xr6:coauthVersionLast="47" xr6:coauthVersionMax="47" xr10:uidLastSave="{00000000-0000-0000-0000-000000000000}"/>
  <bookViews>
    <workbookView xWindow="-110" yWindow="-110" windowWidth="19420" windowHeight="10300" firstSheet="3" activeTab="5" xr2:uid="{4E15C3CA-6F70-49E0-9507-8851575D5FCD}"/>
  </bookViews>
  <sheets>
    <sheet name="TF59_2026" sheetId="3" r:id="rId1"/>
    <sheet name="TF59_2026 Previously" sheetId="4" r:id="rId2"/>
    <sheet name="ΠΙΝΑΚΕΣ" sheetId="1" r:id="rId3"/>
    <sheet name="Διάθεση Διαμερίσματος" sheetId="5" r:id="rId4"/>
    <sheet name="Εταιρεία Κάτοικος Κύπρου" sheetId="6" r:id="rId5"/>
    <sheet name="ΚΕΡΔΗ ΜΕΧΡΙ ΤΟ 2025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9" i="4" l="1"/>
  <c r="D49" i="4" s="1"/>
  <c r="F18" i="7"/>
  <c r="F16" i="7"/>
  <c r="F9" i="7"/>
  <c r="F8" i="7"/>
  <c r="E8" i="7"/>
  <c r="F7" i="7"/>
  <c r="E7" i="7"/>
  <c r="F34" i="6"/>
  <c r="E34" i="6"/>
  <c r="F32" i="6"/>
  <c r="E32" i="6"/>
  <c r="F31" i="6"/>
  <c r="F30" i="6"/>
  <c r="F29" i="6"/>
  <c r="E31" i="6"/>
  <c r="E30" i="6"/>
  <c r="E29" i="6"/>
  <c r="F10" i="6"/>
  <c r="F13" i="6" s="1"/>
  <c r="E10" i="6"/>
  <c r="E13" i="6" s="1"/>
  <c r="D18" i="5"/>
  <c r="E16" i="5"/>
  <c r="D16" i="5"/>
  <c r="E10" i="5"/>
  <c r="E14" i="5" s="1"/>
  <c r="D10" i="5"/>
  <c r="D14" i="5" s="1"/>
  <c r="E5" i="5"/>
  <c r="C35" i="4"/>
  <c r="C35" i="3"/>
  <c r="D63" i="3" s="1"/>
  <c r="C62" i="3"/>
  <c r="D61" i="3"/>
  <c r="E61" i="3" s="1"/>
  <c r="C48" i="4"/>
  <c r="C34" i="4"/>
  <c r="C30" i="4"/>
  <c r="D19" i="4"/>
  <c r="D17" i="4"/>
  <c r="C30" i="3"/>
  <c r="D17" i="3"/>
  <c r="D19" i="3" s="1"/>
  <c r="D32" i="3" s="1"/>
  <c r="E35" i="3" s="1"/>
  <c r="C34" i="3"/>
  <c r="D62" i="3" s="1"/>
  <c r="D4" i="1"/>
  <c r="E18" i="6" l="1"/>
  <c r="E20" i="6" s="1"/>
  <c r="E23" i="6"/>
  <c r="F18" i="6"/>
  <c r="F23" i="6"/>
  <c r="E62" i="3"/>
  <c r="C63" i="3"/>
  <c r="E63" i="3" s="1"/>
  <c r="D42" i="4"/>
  <c r="D43" i="4"/>
  <c r="D48" i="4"/>
  <c r="D52" i="4" s="1"/>
  <c r="D32" i="4"/>
  <c r="E35" i="4" s="1"/>
  <c r="D42" i="3"/>
  <c r="D43" i="3" s="1"/>
  <c r="C48" i="3" s="1"/>
  <c r="D48" i="3" s="1"/>
  <c r="D52" i="3" s="1"/>
  <c r="D53" i="4" l="1"/>
  <c r="D54" i="4" s="1"/>
  <c r="D60" i="3"/>
  <c r="D64" i="3" s="1"/>
  <c r="E26" i="6"/>
  <c r="F20" i="6"/>
  <c r="F26" i="6" s="1"/>
  <c r="D53" i="3"/>
  <c r="D54" i="3" s="1"/>
  <c r="C60" i="3"/>
  <c r="F52" i="3"/>
  <c r="C64" i="3" l="1"/>
  <c r="E60" i="3"/>
  <c r="E64" i="3" s="1"/>
</calcChain>
</file>

<file path=xl/sharedStrings.xml><?xml version="1.0" encoding="utf-8"?>
<sst xmlns="http://schemas.openxmlformats.org/spreadsheetml/2006/main" count="271" uniqueCount="169">
  <si>
    <t>%</t>
  </si>
  <si>
    <t>Συσσωρευμένος Φόρος</t>
  </si>
  <si>
    <t>Φορολογητέο Εισόδημα (Ευρώ)</t>
  </si>
  <si>
    <t>0-22.000</t>
  </si>
  <si>
    <t>22.000-32.000</t>
  </si>
  <si>
    <t>32.000-42.000</t>
  </si>
  <si>
    <t>42.000-72.000</t>
  </si>
  <si>
    <t>Πάνω από 72.000</t>
  </si>
  <si>
    <t>Για το πρώτο</t>
  </si>
  <si>
    <t>Για το δεύτερο</t>
  </si>
  <si>
    <t>Για το τρίτο και κάθε επιπρόσθετο</t>
  </si>
  <si>
    <r>
      <t xml:space="preserve">Έκπτωση </t>
    </r>
    <r>
      <rPr>
        <u/>
        <sz val="11"/>
        <color theme="1"/>
        <rFont val="Aptos Narrow"/>
        <family val="2"/>
        <scheme val="minor"/>
      </rPr>
      <t>σε κάθε</t>
    </r>
    <r>
      <rPr>
        <sz val="11"/>
        <color theme="1"/>
        <rFont val="Aptos Narrow"/>
        <family val="2"/>
        <scheme val="minor"/>
      </rPr>
      <t xml:space="preserve"> γονέα</t>
    </r>
  </si>
  <si>
    <t>Κατά την 31.12 του φορολογικού έτους*</t>
  </si>
  <si>
    <t xml:space="preserve">Ευρώ </t>
  </si>
  <si>
    <t>Εξαρτώμενα Τέκνα*</t>
  </si>
  <si>
    <t xml:space="preserve">Με  1 ή 2 τέκνα </t>
  </si>
  <si>
    <t>Με 3 ή 4 τέκνα</t>
  </si>
  <si>
    <t>Με 5 ή περισσότερα τέκνα</t>
  </si>
  <si>
    <t>Μικτό Οικογενειακό Εισόδημα</t>
  </si>
  <si>
    <t>Τ.Φ.59 – Δήλωση για Διεκδίκηση Φορολογικών Εκπτώσεων (2026) — Φόρος Εισοδήματος</t>
  </si>
  <si>
    <t>Στοιχεία Υπαλλήλου</t>
  </si>
  <si>
    <t>Όνομα Υπαλλήλου*</t>
  </si>
  <si>
    <t>Α.Κ.Α.*</t>
  </si>
  <si>
    <t>Διεύθυνση κατοικίας*</t>
  </si>
  <si>
    <t>Διεύθυνση Ηλεκτρονικού Ταχυδρομείου*</t>
  </si>
  <si>
    <t>Αριθμός Φορολογικής Ταυτότητας (Α.Φ.Τ.)*</t>
  </si>
  <si>
    <t>Αρ. Τηλεφώνου*</t>
  </si>
  <si>
    <t>ΜΕΡΟΣ Α. ΕΙΣΟΔΗΜΑΤΑ</t>
  </si>
  <si>
    <t>Κωδ.</t>
  </si>
  <si>
    <t>Περιγραφή</t>
  </si>
  <si>
    <t>Ποσό (Υπάλληλος)</t>
  </si>
  <si>
    <t>Ποσό (Εργοδότης)</t>
  </si>
  <si>
    <t>Α1</t>
  </si>
  <si>
    <t>Μισθωτές Υπηρεσίες και οφέλη που εμπίπτουν στις αποδοχές των ΥΚΑ</t>
  </si>
  <si>
    <t>Α2</t>
  </si>
  <si>
    <t>Οφέλη/ποσά που δεν εμπίπτουν στις αποδοχές των ΥΚΑ</t>
  </si>
  <si>
    <t>Α3</t>
  </si>
  <si>
    <t>Άλλα εισοδήματα (π.χ. προηγ. εργοδότηση, συντάξεις, ενοίκια, τόκοι, μερίσματα)</t>
  </si>
  <si>
    <t>Α4</t>
  </si>
  <si>
    <t>Μεικτά Ενοίκια</t>
  </si>
  <si>
    <t>Α5</t>
  </si>
  <si>
    <t>Εισοδήματα από άλλες πηγές</t>
  </si>
  <si>
    <t>Α6</t>
  </si>
  <si>
    <t>ΟΛΙΚΟ ΕΙΣΟΔΗΜΑ</t>
  </si>
  <si>
    <t>Α7</t>
  </si>
  <si>
    <t>Μείον: Εισοδήματα που δεν φορολογούνται</t>
  </si>
  <si>
    <t>Α8</t>
  </si>
  <si>
    <t>ΟΛΙΚΟ ΦΟΡΟΛΟΓΗΤΕΟ ΕΙΣΟΔΗΜΑ [Α6 – Α7]</t>
  </si>
  <si>
    <t>Α9α</t>
  </si>
  <si>
    <t>Σύνταξη Χηρείας από εργοδότη (επιλογή χωριστής φορολόγησης)</t>
  </si>
  <si>
    <t>Α9β</t>
  </si>
  <si>
    <t>Ποσό σύνταξης χηρείας από ΥΚΑ</t>
  </si>
  <si>
    <t>Α10α</t>
  </si>
  <si>
    <t>Εισόδημα ΟΕΕ/ΟΣΕΚΑ με ειδικό συντελεστή 8% (εκτός ΥΚΑ)</t>
  </si>
  <si>
    <t>Α10β</t>
  </si>
  <si>
    <t>Εισόδημα ΟΕΕ/ΟΣΕΚΑ με ειδικό συντελεστή 8% (εντός ΥΚΑ)</t>
  </si>
  <si>
    <t>ΜΕΡΟΣ Β. ΕΚΠΤΩΣΕΙΣ ΚΑΙ ΑΦΑΙΡΕΣΕΙΣ</t>
  </si>
  <si>
    <t>Β1</t>
  </si>
  <si>
    <t>Συνδρομές σε Συντεχνία ή/και Επαγγελματικά Σώματα</t>
  </si>
  <si>
    <t>Β2</t>
  </si>
  <si>
    <t>Έκπτωση για πρώτη εργοδότηση</t>
  </si>
  <si>
    <t>Β3</t>
  </si>
  <si>
    <t>Ασφάλεια κατοικίας έναντι φυσικών καταστροφών (μέχρι €500)</t>
  </si>
  <si>
    <t>Β4</t>
  </si>
  <si>
    <t>Αφαιρέσεις για ενοικιαζόμενα υποστατικά (κεφαλαιουχικές εκπτώσεις, τόκοι, 20% μεικτού ενοικίου)</t>
  </si>
  <si>
    <t>Β5</t>
  </si>
  <si>
    <t>Άλλες Αφαιρέσεις</t>
  </si>
  <si>
    <t>Β6</t>
  </si>
  <si>
    <t>ΕΝΔΙΑΜΕΣΟΣ ΥΠΟΛΟΓΙΣΜΟΣ [Α8 – (σύνολο Β1..Β5)]</t>
  </si>
  <si>
    <t>Β7</t>
  </si>
  <si>
    <t>Ταμεία Σύνταξης, Προνοίας, Υγείας &amp; Κοιν. Ασφαλίσεων &amp; Ασφάλιστρα Υγείας</t>
  </si>
  <si>
    <t>Β8</t>
  </si>
  <si>
    <t>Εισφορές υπαλλήλου στο ΓεΣΥ</t>
  </si>
  <si>
    <t>Β9</t>
  </si>
  <si>
    <t>Ασφάλιστρα ζωής/ανικανότητας</t>
  </si>
  <si>
    <t>Β10</t>
  </si>
  <si>
    <t>Εκπτώσεις για εξαρτώμενα τέκνα</t>
  </si>
  <si>
    <t>Β11</t>
  </si>
  <si>
    <t>Έκπτωση ενοικίου κύριας κατοικίας ή τόκοι στεγαστικού</t>
  </si>
  <si>
    <t>Β12</t>
  </si>
  <si>
    <t>Έκπτωση δαπάνης ενεργειακής αναβάθμισης ή αγοράς Η/Ο</t>
  </si>
  <si>
    <t>Β13</t>
  </si>
  <si>
    <t>Δαπάνη Επένδυσης σε Καινοτόμες Επιχειρήσεις</t>
  </si>
  <si>
    <t>Β15</t>
  </si>
  <si>
    <t>ΣΥΝΟΛΟ ΕΚΠΤΩΣΕΩΝ (Β1..Β13, αγνοώντας Β6)</t>
  </si>
  <si>
    <t>Β16</t>
  </si>
  <si>
    <t>ΦΟΡΟΛΟΓΗΤΕΟ ΕΙΣΟΔΗΜΑ ΜΕ ΚΑΝΟΝΙΚΟΥΣ ΣΥΝΤΕΛΕΣΤΕΣ [Α8 – Β15]</t>
  </si>
  <si>
    <t>ΜΕΡΟΣ Γ. ΥΠΟΛΟΓΙΣΜΟΣ ΦΟΡΟΥ</t>
  </si>
  <si>
    <t>Κλίμακα Εισοδήματος (€)</t>
  </si>
  <si>
    <t>Συντελεστής</t>
  </si>
  <si>
    <t>Φόρος</t>
  </si>
  <si>
    <t>0 – 22.000</t>
  </si>
  <si>
    <t>0%</t>
  </si>
  <si>
    <t>22.001 – 32.000</t>
  </si>
  <si>
    <t>20%</t>
  </si>
  <si>
    <t>32.001 – 42.000</t>
  </si>
  <si>
    <t>25%</t>
  </si>
  <si>
    <t>42.001 – 72.000</t>
  </si>
  <si>
    <t>30%</t>
  </si>
  <si>
    <t>72.001+</t>
  </si>
  <si>
    <t>35%</t>
  </si>
  <si>
    <t>Γ1</t>
  </si>
  <si>
    <t>ΦΟΡΟΣ στο φορολογητέο εισόδημα</t>
  </si>
  <si>
    <t>Γ2</t>
  </si>
  <si>
    <t>ΦΟΡΟΣ που πρέπει να αποκοπεί (τύπος στο έντυπο)</t>
  </si>
  <si>
    <t>Γ3</t>
  </si>
  <si>
    <t>Αποκοπή Φόρου Εισοδήματος: Μηνιαία (Γ2÷13 ή Γ2÷12) / Εβδομαδιαία (Γ2÷52)</t>
  </si>
  <si>
    <t>Γ4</t>
  </si>
  <si>
    <t>Ετήσια αποκοπή ΓεΣΥ (2,65% σε Α2, Α9α, Α10α έως ετήσιο όριο)</t>
  </si>
  <si>
    <t xml:space="preserve"> </t>
  </si>
  <si>
    <t>Υπόκεινται στον περιορισμό 1/5 του Β6</t>
  </si>
  <si>
    <t>Max</t>
  </si>
  <si>
    <t>0-19500</t>
  </si>
  <si>
    <t>19500-28000</t>
  </si>
  <si>
    <t>28000-36300</t>
  </si>
  <si>
    <t>36300-60000</t>
  </si>
  <si>
    <t>60000+</t>
  </si>
  <si>
    <t xml:space="preserve">Saving </t>
  </si>
  <si>
    <t xml:space="preserve">Όνομα Υπαλλήλου* ΣΟΦΙΑ </t>
  </si>
  <si>
    <t>ΧΡΗΣΗ ΕΡΓΟΔΟΤΗ</t>
  </si>
  <si>
    <t xml:space="preserve">Είδος Φόρου / Εισφορών </t>
  </si>
  <si>
    <t>Μετά Την Φορολογική Μεταρρύθμισης</t>
  </si>
  <si>
    <t xml:space="preserve">Πρίν την Φορολογική Μεταρρύθμιση </t>
  </si>
  <si>
    <t>Φόρος Εισοδήματος</t>
  </si>
  <si>
    <t>Εξοικονόμηση</t>
  </si>
  <si>
    <t xml:space="preserve">Εκτακτη Αμυντική Εισφορά </t>
  </si>
  <si>
    <t xml:space="preserve">Κοινωνικές Εισφορές </t>
  </si>
  <si>
    <t>ΓεΣΥ (Μισθός και Ενοίκια 2,65%)</t>
  </si>
  <si>
    <t>Σύνολο</t>
  </si>
  <si>
    <t>Αποκοπή Φόρου Εισοδήματος: Μηνιαία</t>
  </si>
  <si>
    <t>Διάθεση παριουσιακού στοιχείου - Διαμερίσματος</t>
  </si>
  <si>
    <t xml:space="preserve">Πώληση </t>
  </si>
  <si>
    <t>Κέρδος</t>
  </si>
  <si>
    <t>Απαλλαγή (Lifetime Exemption)</t>
  </si>
  <si>
    <t>Μετα την φορολογική Μεταρρύθμιση</t>
  </si>
  <si>
    <t>Πρίν την Φορολογική Μεταρρύθμιση</t>
  </si>
  <si>
    <t>ΦΚΚ @ 20%</t>
  </si>
  <si>
    <t>Κέρδος προς φορολόγηση</t>
  </si>
  <si>
    <t>Κόστος</t>
  </si>
  <si>
    <t>Αποπληθωρισμένο κόστος αγοράς + κεφαλ. εκπτώσεις</t>
  </si>
  <si>
    <t xml:space="preserve">Μετα την Φορολογική Μεταρρύθμιση </t>
  </si>
  <si>
    <t>ΈΤΟΣ 2026</t>
  </si>
  <si>
    <t>Καθαρό Κέρδος προς διανομή</t>
  </si>
  <si>
    <t xml:space="preserve">Μέρισμα </t>
  </si>
  <si>
    <t>Έκτακτη Αμυντική Εισφορά και ΓεΣΎ</t>
  </si>
  <si>
    <t>ΓεΣΥ</t>
  </si>
  <si>
    <t>Καθαρό Ποσό Μερίσματος</t>
  </si>
  <si>
    <t>ΓεΣυ (σε 100% μέρισμα)</t>
  </si>
  <si>
    <t>Εκτακτη Αμυντική Εισφορά (σε 100% μέρισμα)</t>
  </si>
  <si>
    <t>Φόροι / Εισφορές</t>
  </si>
  <si>
    <t>ΣΥΝΟΛΟ</t>
  </si>
  <si>
    <t>Αποτελεσματικός συντελεστής φορολόγησης</t>
  </si>
  <si>
    <t>Φορολογητέα εισοδήματα</t>
  </si>
  <si>
    <t xml:space="preserve">Κέρδη που Υπόκεινται σε λογιζόμενη Διανομή </t>
  </si>
  <si>
    <t>Έτος 2024</t>
  </si>
  <si>
    <t>Έτος 2025</t>
  </si>
  <si>
    <t>ΕΑΕ στα κέρδη του 2024</t>
  </si>
  <si>
    <t>Λογίζεται ώς διανεμηθέν στις 31.12.2026</t>
  </si>
  <si>
    <t>ΕΑΕ στα κέρδη του 2025</t>
  </si>
  <si>
    <t xml:space="preserve">Λογιζόμενη Μέρισμα </t>
  </si>
  <si>
    <t>ΕΑΕ</t>
  </si>
  <si>
    <t>Πραγματικό Μέρισμα Ύψους 100,000 το 2032 (περαν των 6 ετών)</t>
  </si>
  <si>
    <t xml:space="preserve">Μείον Λογιζόμενο Μέρισμα </t>
  </si>
  <si>
    <t xml:space="preserve">Μερισμα που υπόκειται σε ΕΑΕ σε 5% </t>
  </si>
  <si>
    <t xml:space="preserve">ΕΑΕ </t>
  </si>
  <si>
    <t>Συνολο</t>
  </si>
  <si>
    <t xml:space="preserve">Συνολο ΕΑΕ </t>
  </si>
  <si>
    <t>ΕΤΑΙΡΕΊΑΕΣ ΜΕ ΚΈΡΔΗ ΜΈΧΡΙ ΤΟ 2025</t>
  </si>
  <si>
    <t>Λογίζεται ώς διανεμηθέν στις 31.12.2027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</si>
</sst>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name val="Calibri"/>
      <family val="2"/>
      <charset val="161"/>
    </font>
    <font>
      <b/>
      <sz val="11"/>
      <color rgb="FFFFFFFF"/>
      <name val="Calibri"/>
      <family val="2"/>
      <charset val="161"/>
    </font>
    <font>
      <b/>
      <sz val="11"/>
      <name val="Calibri"/>
      <family val="2"/>
      <charset val="161"/>
    </font>
    <font>
      <b/>
      <sz val="11"/>
      <color theme="1"/>
      <name val="Aptos Narrow"/>
      <family val="2"/>
      <charset val="161"/>
      <scheme val="minor"/>
    </font>
    <font>
      <b/>
      <sz val="11"/>
      <color rgb="FF00B05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3366"/>
        <bgColor rgb="FF003366"/>
      </patternFill>
    </fill>
    <fill>
      <patternFill patternType="solid">
        <fgColor rgb="FFFFFF0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999999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right"/>
    </xf>
    <xf numFmtId="0" fontId="0" fillId="3" borderId="0" xfId="0" applyFill="1" applyAlignment="1">
      <alignment horizontal="center"/>
    </xf>
    <xf numFmtId="43" fontId="0" fillId="3" borderId="0" xfId="1" applyFont="1" applyFill="1" applyAlignment="1">
      <alignment horizontal="center"/>
    </xf>
    <xf numFmtId="164" fontId="0" fillId="3" borderId="0" xfId="1" applyNumberFormat="1" applyFont="1" applyFill="1" applyAlignment="1">
      <alignment horizontal="center"/>
    </xf>
    <xf numFmtId="0" fontId="0" fillId="3" borderId="0" xfId="0" applyFill="1"/>
    <xf numFmtId="0" fontId="3" fillId="0" borderId="0" xfId="0" applyFont="1"/>
    <xf numFmtId="164" fontId="0" fillId="0" borderId="0" xfId="1" applyNumberFormat="1" applyFont="1"/>
    <xf numFmtId="3" fontId="0" fillId="0" borderId="0" xfId="0" applyNumberFormat="1"/>
    <xf numFmtId="0" fontId="0" fillId="0" borderId="0" xfId="0" applyAlignment="1">
      <alignment vertical="top" wrapText="1"/>
    </xf>
    <xf numFmtId="0" fontId="6" fillId="4" borderId="0" xfId="0" applyFont="1" applyFill="1" applyAlignment="1">
      <alignment horizontal="center"/>
    </xf>
    <xf numFmtId="0" fontId="6" fillId="4" borderId="0" xfId="0" applyFont="1" applyFill="1" applyAlignment="1">
      <alignment vertical="top" wrapText="1"/>
    </xf>
    <xf numFmtId="0" fontId="0" fillId="0" borderId="0" xfId="0" applyAlignment="1">
      <alignment horizontal="center"/>
    </xf>
    <xf numFmtId="0" fontId="0" fillId="5" borderId="0" xfId="0" applyFill="1" applyAlignment="1">
      <alignment vertical="top" wrapText="1"/>
    </xf>
    <xf numFmtId="0" fontId="4" fillId="0" borderId="0" xfId="0" applyFont="1" applyAlignment="1">
      <alignment vertical="top" wrapText="1"/>
    </xf>
    <xf numFmtId="43" fontId="0" fillId="0" borderId="0" xfId="1" applyFont="1"/>
    <xf numFmtId="43" fontId="8" fillId="0" borderId="0" xfId="0" applyNumberFormat="1" applyFont="1"/>
    <xf numFmtId="0" fontId="0" fillId="2" borderId="0" xfId="0" applyFill="1" applyAlignment="1">
      <alignment horizontal="center"/>
    </xf>
    <xf numFmtId="0" fontId="0" fillId="2" borderId="0" xfId="0" applyFill="1" applyAlignment="1">
      <alignment vertical="top" wrapText="1"/>
    </xf>
    <xf numFmtId="43" fontId="0" fillId="0" borderId="0" xfId="0" applyNumberFormat="1"/>
    <xf numFmtId="43" fontId="4" fillId="0" borderId="0" xfId="1" applyFont="1"/>
    <xf numFmtId="43" fontId="4" fillId="0" borderId="0" xfId="0" applyNumberFormat="1" applyFont="1"/>
    <xf numFmtId="43" fontId="4" fillId="5" borderId="0" xfId="0" applyNumberFormat="1" applyFont="1" applyFill="1"/>
    <xf numFmtId="43" fontId="0" fillId="6" borderId="0" xfId="0" applyNumberFormat="1" applyFill="1"/>
    <xf numFmtId="0" fontId="9" fillId="0" borderId="0" xfId="0" applyFont="1" applyAlignment="1">
      <alignment horizontal="right"/>
    </xf>
    <xf numFmtId="0" fontId="0" fillId="7" borderId="0" xfId="0" applyFill="1"/>
    <xf numFmtId="43" fontId="0" fillId="7" borderId="0" xfId="0" applyNumberFormat="1" applyFill="1"/>
    <xf numFmtId="0" fontId="7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6" fillId="4" borderId="0" xfId="0" applyFont="1" applyFill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/>
    <xf numFmtId="0" fontId="5" fillId="0" borderId="0" xfId="0" applyFont="1" applyAlignment="1">
      <alignment horizontal="center"/>
    </xf>
    <xf numFmtId="0" fontId="6" fillId="4" borderId="0" xfId="0" applyFont="1" applyFill="1" applyAlignment="1">
      <alignment horizontal="left" wrapText="1"/>
    </xf>
    <xf numFmtId="43" fontId="8" fillId="0" borderId="0" xfId="1" applyFont="1"/>
    <xf numFmtId="43" fontId="0" fillId="2" borderId="0" xfId="1" applyFont="1" applyFill="1"/>
    <xf numFmtId="43" fontId="0" fillId="5" borderId="0" xfId="1" applyFont="1" applyFill="1"/>
    <xf numFmtId="0" fontId="4" fillId="0" borderId="0" xfId="0" applyFont="1"/>
    <xf numFmtId="43" fontId="0" fillId="0" borderId="0" xfId="1" applyFont="1" applyBorder="1"/>
    <xf numFmtId="43" fontId="0" fillId="0" borderId="3" xfId="1" applyFont="1" applyBorder="1"/>
    <xf numFmtId="0" fontId="4" fillId="7" borderId="4" xfId="0" applyFont="1" applyFill="1" applyBorder="1" applyAlignment="1">
      <alignment wrapText="1"/>
    </xf>
    <xf numFmtId="0" fontId="4" fillId="7" borderId="5" xfId="0" applyFont="1" applyFill="1" applyBorder="1" applyAlignment="1">
      <alignment wrapText="1"/>
    </xf>
    <xf numFmtId="43" fontId="4" fillId="0" borderId="4" xfId="0" applyNumberFormat="1" applyFont="1" applyBorder="1"/>
    <xf numFmtId="43" fontId="4" fillId="0" borderId="5" xfId="0" applyNumberFormat="1" applyFont="1" applyBorder="1"/>
    <xf numFmtId="0" fontId="4" fillId="7" borderId="6" xfId="0" applyFont="1" applyFill="1" applyBorder="1" applyAlignment="1">
      <alignment wrapText="1"/>
    </xf>
    <xf numFmtId="0" fontId="0" fillId="0" borderId="7" xfId="0" applyBorder="1"/>
    <xf numFmtId="43" fontId="0" fillId="0" borderId="7" xfId="1" applyFont="1" applyBorder="1"/>
    <xf numFmtId="43" fontId="4" fillId="0" borderId="8" xfId="0" applyNumberFormat="1" applyFont="1" applyBorder="1"/>
    <xf numFmtId="43" fontId="0" fillId="0" borderId="6" xfId="1" applyFont="1" applyBorder="1"/>
    <xf numFmtId="43" fontId="0" fillId="0" borderId="8" xfId="1" applyFont="1" applyBorder="1"/>
    <xf numFmtId="0" fontId="4" fillId="7" borderId="2" xfId="0" applyFont="1" applyFill="1" applyBorder="1" applyAlignment="1">
      <alignment wrapText="1"/>
    </xf>
    <xf numFmtId="0" fontId="4" fillId="0" borderId="2" xfId="0" applyFont="1" applyBorder="1"/>
    <xf numFmtId="0" fontId="4" fillId="2" borderId="0" xfId="0" applyFont="1" applyFill="1" applyAlignment="1">
      <alignment vertical="top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 wrapText="1"/>
    </xf>
    <xf numFmtId="10" fontId="0" fillId="0" borderId="0" xfId="0" applyNumberFormat="1"/>
    <xf numFmtId="0" fontId="10" fillId="0" borderId="0" xfId="0" applyFont="1"/>
    <xf numFmtId="9" fontId="11" fillId="0" borderId="0" xfId="0" applyNumberFormat="1" applyFont="1"/>
    <xf numFmtId="10" fontId="11" fillId="0" borderId="0" xfId="0" applyNumberFormat="1" applyFont="1"/>
    <xf numFmtId="0" fontId="4" fillId="2" borderId="0" xfId="0" applyFont="1" applyFill="1" applyAlignment="1">
      <alignment horizontal="center" vertical="top" wrapText="1"/>
    </xf>
    <xf numFmtId="9" fontId="0" fillId="5" borderId="0" xfId="2" applyFont="1" applyFill="1"/>
    <xf numFmtId="0" fontId="0" fillId="0" borderId="0" xfId="0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8</xdr:row>
      <xdr:rowOff>0</xdr:rowOff>
    </xdr:from>
    <xdr:to>
      <xdr:col>8</xdr:col>
      <xdr:colOff>6350</xdr:colOff>
      <xdr:row>13</xdr:row>
      <xdr:rowOff>25400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4CFABF5-2BD6-2AF0-4DC4-CE60E3452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676400"/>
          <a:ext cx="2800350" cy="946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0</xdr:rowOff>
        </xdr:from>
        <xdr:to>
          <xdr:col>8</xdr:col>
          <xdr:colOff>6350</xdr:colOff>
          <xdr:row>19</xdr:row>
          <xdr:rowOff>25400</xdr:rowOff>
        </xdr:to>
        <xdr:pic>
          <xdr:nvPicPr>
            <xdr:cNvPr id="4" name="Picture 3">
              <a:extLst>
                <a:ext uri="{FF2B5EF4-FFF2-40B4-BE49-F238E27FC236}">
                  <a16:creationId xmlns:a16="http://schemas.microsoft.com/office/drawing/2014/main" id="{D0B7786B-47FD-6CAF-3B7A-DB567660455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G$2:$H$5" spid="_x0000_s1059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4381500" y="2781300"/>
              <a:ext cx="2800350" cy="9461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9</xdr:col>
      <xdr:colOff>0</xdr:colOff>
      <xdr:row>8</xdr:row>
      <xdr:rowOff>0</xdr:rowOff>
    </xdr:from>
    <xdr:to>
      <xdr:col>11</xdr:col>
      <xdr:colOff>6350</xdr:colOff>
      <xdr:row>13</xdr:row>
      <xdr:rowOff>25400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1FAB1CF-338A-C9DF-D936-95DDDDD1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5100" y="1676400"/>
          <a:ext cx="2825750" cy="946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97DD8-FAFD-44CA-8D4C-4F540457FE18}">
  <dimension ref="A1:H64"/>
  <sheetViews>
    <sheetView topLeftCell="A46" workbookViewId="0">
      <selection activeCell="F52" sqref="F52"/>
    </sheetView>
  </sheetViews>
  <sheetFormatPr defaultRowHeight="14.5" x14ac:dyDescent="0.35"/>
  <cols>
    <col min="1" max="1" width="22.26953125" bestFit="1" customWidth="1"/>
    <col min="2" max="2" width="61.81640625" bestFit="1" customWidth="1"/>
    <col min="3" max="4" width="20" customWidth="1"/>
    <col min="5" max="5" width="14" customWidth="1"/>
    <col min="6" max="6" width="9.1796875" bestFit="1" customWidth="1"/>
    <col min="7" max="7" width="9.81640625" bestFit="1" customWidth="1"/>
    <col min="14" max="14" width="8.7265625" customWidth="1"/>
  </cols>
  <sheetData>
    <row r="1" spans="1:4" ht="18.5" x14ac:dyDescent="0.45">
      <c r="A1" s="34" t="s">
        <v>19</v>
      </c>
      <c r="B1" s="33"/>
      <c r="C1" s="33"/>
      <c r="D1" s="33"/>
    </row>
    <row r="2" spans="1:4" x14ac:dyDescent="0.35">
      <c r="A2" s="35" t="s">
        <v>20</v>
      </c>
      <c r="B2" s="30"/>
      <c r="C2" s="30"/>
      <c r="D2" s="30"/>
    </row>
    <row r="3" spans="1:4" x14ac:dyDescent="0.35">
      <c r="A3" s="29" t="s">
        <v>118</v>
      </c>
      <c r="B3" s="30"/>
      <c r="C3" s="30"/>
      <c r="D3" s="30"/>
    </row>
    <row r="4" spans="1:4" x14ac:dyDescent="0.35">
      <c r="A4" s="29" t="s">
        <v>22</v>
      </c>
      <c r="B4" s="30"/>
      <c r="C4" s="30"/>
      <c r="D4" s="30"/>
    </row>
    <row r="5" spans="1:4" x14ac:dyDescent="0.35">
      <c r="A5" s="29" t="s">
        <v>23</v>
      </c>
      <c r="B5" s="30"/>
      <c r="C5" s="30"/>
      <c r="D5" s="30"/>
    </row>
    <row r="6" spans="1:4" x14ac:dyDescent="0.35">
      <c r="A6" s="29" t="s">
        <v>24</v>
      </c>
      <c r="B6" s="30"/>
      <c r="C6" s="30"/>
      <c r="D6" s="30"/>
    </row>
    <row r="7" spans="1:4" x14ac:dyDescent="0.35">
      <c r="A7" s="29" t="s">
        <v>25</v>
      </c>
      <c r="B7" s="30"/>
      <c r="C7" s="30"/>
      <c r="D7" s="30"/>
    </row>
    <row r="8" spans="1:4" x14ac:dyDescent="0.35">
      <c r="A8" s="29" t="s">
        <v>26</v>
      </c>
      <c r="B8" s="30"/>
      <c r="C8" s="30"/>
      <c r="D8" s="30"/>
    </row>
    <row r="9" spans="1:4" x14ac:dyDescent="0.35">
      <c r="B9" s="11"/>
    </row>
    <row r="10" spans="1:4" x14ac:dyDescent="0.35">
      <c r="A10" s="31" t="s">
        <v>27</v>
      </c>
      <c r="B10" s="32"/>
      <c r="C10" s="33"/>
      <c r="D10" s="33"/>
    </row>
    <row r="11" spans="1:4" x14ac:dyDescent="0.35">
      <c r="A11" s="12" t="s">
        <v>28</v>
      </c>
      <c r="B11" s="13" t="s">
        <v>29</v>
      </c>
      <c r="C11" s="12" t="s">
        <v>30</v>
      </c>
      <c r="D11" s="12" t="s">
        <v>119</v>
      </c>
    </row>
    <row r="12" spans="1:4" x14ac:dyDescent="0.35">
      <c r="A12" s="14" t="s">
        <v>32</v>
      </c>
      <c r="B12" s="11" t="s">
        <v>33</v>
      </c>
      <c r="D12" s="17">
        <v>30000</v>
      </c>
    </row>
    <row r="13" spans="1:4" x14ac:dyDescent="0.35">
      <c r="A13" s="14" t="s">
        <v>34</v>
      </c>
      <c r="B13" s="11" t="s">
        <v>35</v>
      </c>
    </row>
    <row r="14" spans="1:4" ht="29" x14ac:dyDescent="0.35">
      <c r="A14" s="14" t="s">
        <v>36</v>
      </c>
      <c r="B14" s="11" t="s">
        <v>37</v>
      </c>
    </row>
    <row r="15" spans="1:4" x14ac:dyDescent="0.35">
      <c r="A15" s="14" t="s">
        <v>38</v>
      </c>
      <c r="B15" s="11" t="s">
        <v>39</v>
      </c>
      <c r="C15" s="17">
        <v>10000</v>
      </c>
      <c r="D15" s="17">
        <v>10000</v>
      </c>
    </row>
    <row r="16" spans="1:4" x14ac:dyDescent="0.35">
      <c r="A16" s="14" t="s">
        <v>40</v>
      </c>
      <c r="B16" s="11" t="s">
        <v>41</v>
      </c>
    </row>
    <row r="17" spans="1:4" x14ac:dyDescent="0.35">
      <c r="A17" s="14" t="s">
        <v>42</v>
      </c>
      <c r="B17" s="16" t="s">
        <v>43</v>
      </c>
      <c r="D17" s="18">
        <f>SUM(D12:D16)</f>
        <v>40000</v>
      </c>
    </row>
    <row r="18" spans="1:4" x14ac:dyDescent="0.35">
      <c r="A18" s="14" t="s">
        <v>44</v>
      </c>
      <c r="B18" s="11" t="s">
        <v>45</v>
      </c>
    </row>
    <row r="19" spans="1:4" x14ac:dyDescent="0.35">
      <c r="A19" s="14" t="s">
        <v>46</v>
      </c>
      <c r="B19" s="16" t="s">
        <v>47</v>
      </c>
      <c r="D19" s="18">
        <f>D17-D18</f>
        <v>40000</v>
      </c>
    </row>
    <row r="20" spans="1:4" x14ac:dyDescent="0.35">
      <c r="A20" s="14" t="s">
        <v>48</v>
      </c>
      <c r="B20" s="11" t="s">
        <v>49</v>
      </c>
    </row>
    <row r="21" spans="1:4" x14ac:dyDescent="0.35">
      <c r="A21" s="14" t="s">
        <v>50</v>
      </c>
      <c r="B21" s="11" t="s">
        <v>51</v>
      </c>
    </row>
    <row r="22" spans="1:4" x14ac:dyDescent="0.35">
      <c r="A22" s="14" t="s">
        <v>52</v>
      </c>
      <c r="B22" s="11" t="s">
        <v>53</v>
      </c>
    </row>
    <row r="23" spans="1:4" x14ac:dyDescent="0.35">
      <c r="A23" s="14" t="s">
        <v>54</v>
      </c>
      <c r="B23" s="11" t="s">
        <v>55</v>
      </c>
    </row>
    <row r="24" spans="1:4" x14ac:dyDescent="0.35">
      <c r="A24" s="14"/>
      <c r="B24" s="11"/>
    </row>
    <row r="25" spans="1:4" x14ac:dyDescent="0.35">
      <c r="A25" s="31" t="s">
        <v>56</v>
      </c>
      <c r="B25" s="32"/>
      <c r="C25" s="33"/>
      <c r="D25" s="33"/>
    </row>
    <row r="26" spans="1:4" x14ac:dyDescent="0.35">
      <c r="A26" s="12" t="s">
        <v>28</v>
      </c>
      <c r="B26" s="13" t="s">
        <v>29</v>
      </c>
      <c r="C26" s="12" t="s">
        <v>30</v>
      </c>
      <c r="D26" s="12" t="s">
        <v>31</v>
      </c>
    </row>
    <row r="27" spans="1:4" x14ac:dyDescent="0.35">
      <c r="A27" s="14" t="s">
        <v>57</v>
      </c>
      <c r="B27" s="11" t="s">
        <v>58</v>
      </c>
      <c r="C27" s="17">
        <v>350</v>
      </c>
      <c r="D27" s="17">
        <v>500</v>
      </c>
    </row>
    <row r="28" spans="1:4" x14ac:dyDescent="0.35">
      <c r="A28" s="14" t="s">
        <v>59</v>
      </c>
      <c r="B28" s="11" t="s">
        <v>60</v>
      </c>
      <c r="C28" s="17"/>
      <c r="D28" s="17"/>
    </row>
    <row r="29" spans="1:4" x14ac:dyDescent="0.35">
      <c r="A29" s="14" t="s">
        <v>61</v>
      </c>
      <c r="B29" s="15" t="s">
        <v>62</v>
      </c>
      <c r="C29" s="17">
        <v>500</v>
      </c>
      <c r="D29" s="17">
        <v>500</v>
      </c>
    </row>
    <row r="30" spans="1:4" ht="29" x14ac:dyDescent="0.35">
      <c r="A30" s="14" t="s">
        <v>63</v>
      </c>
      <c r="B30" s="11" t="s">
        <v>64</v>
      </c>
      <c r="C30" s="17">
        <f>2000+1000</f>
        <v>3000</v>
      </c>
      <c r="D30" s="17">
        <v>3000</v>
      </c>
    </row>
    <row r="31" spans="1:4" x14ac:dyDescent="0.35">
      <c r="A31" s="14" t="s">
        <v>65</v>
      </c>
      <c r="B31" s="11" t="s">
        <v>66</v>
      </c>
      <c r="C31" s="17">
        <v>300</v>
      </c>
      <c r="D31" s="17">
        <v>300</v>
      </c>
    </row>
    <row r="32" spans="1:4" x14ac:dyDescent="0.35">
      <c r="A32" s="14" t="s">
        <v>67</v>
      </c>
      <c r="B32" s="16" t="s">
        <v>68</v>
      </c>
      <c r="C32" s="17"/>
      <c r="D32" s="36">
        <f>D19-D27-D28-D29-D30-D31</f>
        <v>35700</v>
      </c>
    </row>
    <row r="33" spans="1:8" x14ac:dyDescent="0.35">
      <c r="A33" s="14"/>
      <c r="B33" s="16"/>
      <c r="C33" s="17"/>
      <c r="D33" s="36"/>
    </row>
    <row r="34" spans="1:8" x14ac:dyDescent="0.35">
      <c r="A34" s="19" t="s">
        <v>69</v>
      </c>
      <c r="B34" s="20" t="s">
        <v>70</v>
      </c>
      <c r="C34" s="37">
        <f>0.088*D12</f>
        <v>2640</v>
      </c>
      <c r="D34" s="17"/>
      <c r="E34" s="27" t="s">
        <v>110</v>
      </c>
      <c r="F34" s="27"/>
      <c r="G34" s="27"/>
      <c r="H34" s="27"/>
    </row>
    <row r="35" spans="1:8" x14ac:dyDescent="0.35">
      <c r="A35" s="19" t="s">
        <v>71</v>
      </c>
      <c r="B35" s="20" t="s">
        <v>72</v>
      </c>
      <c r="C35" s="37">
        <f>D12*0.0265+C15*0.0265</f>
        <v>1060</v>
      </c>
      <c r="D35" s="17"/>
      <c r="E35" s="28">
        <f>D32*0.2</f>
        <v>7140</v>
      </c>
      <c r="F35" s="27" t="s">
        <v>111</v>
      </c>
    </row>
    <row r="36" spans="1:8" x14ac:dyDescent="0.35">
      <c r="A36" s="19" t="s">
        <v>73</v>
      </c>
      <c r="B36" s="20" t="s">
        <v>74</v>
      </c>
      <c r="C36" s="37">
        <v>1000</v>
      </c>
      <c r="D36" s="17"/>
    </row>
    <row r="37" spans="1:8" x14ac:dyDescent="0.35">
      <c r="A37" s="14" t="s">
        <v>75</v>
      </c>
      <c r="B37" s="15" t="s">
        <v>76</v>
      </c>
      <c r="C37" s="17">
        <v>2250</v>
      </c>
      <c r="D37" s="17"/>
    </row>
    <row r="38" spans="1:8" x14ac:dyDescent="0.35">
      <c r="A38" s="14" t="s">
        <v>77</v>
      </c>
      <c r="B38" s="15" t="s">
        <v>78</v>
      </c>
      <c r="C38" s="17">
        <v>1500</v>
      </c>
      <c r="D38" s="17"/>
    </row>
    <row r="39" spans="1:8" x14ac:dyDescent="0.35">
      <c r="A39" s="14" t="s">
        <v>79</v>
      </c>
      <c r="B39" s="15" t="s">
        <v>80</v>
      </c>
      <c r="C39" s="17">
        <v>1000</v>
      </c>
      <c r="D39" s="17"/>
    </row>
    <row r="40" spans="1:8" x14ac:dyDescent="0.35">
      <c r="A40" s="14" t="s">
        <v>81</v>
      </c>
      <c r="B40" s="11" t="s">
        <v>82</v>
      </c>
      <c r="C40" s="17"/>
      <c r="D40" s="17"/>
    </row>
    <row r="41" spans="1:8" x14ac:dyDescent="0.35">
      <c r="A41" s="14"/>
      <c r="B41" s="11"/>
      <c r="C41" s="17"/>
      <c r="D41" s="17"/>
    </row>
    <row r="42" spans="1:8" x14ac:dyDescent="0.35">
      <c r="A42" s="14" t="s">
        <v>83</v>
      </c>
      <c r="B42" s="16" t="s">
        <v>84</v>
      </c>
      <c r="C42" s="17"/>
      <c r="D42" s="22">
        <f>SUM(C27:C42)</f>
        <v>13600</v>
      </c>
    </row>
    <row r="43" spans="1:8" x14ac:dyDescent="0.35">
      <c r="A43" s="14" t="s">
        <v>85</v>
      </c>
      <c r="B43" s="16" t="s">
        <v>86</v>
      </c>
      <c r="C43" s="17"/>
      <c r="D43" s="38">
        <f>D19-D42</f>
        <v>26400</v>
      </c>
    </row>
    <row r="44" spans="1:8" x14ac:dyDescent="0.35">
      <c r="B44" s="11"/>
    </row>
    <row r="45" spans="1:8" x14ac:dyDescent="0.35">
      <c r="A45" s="31" t="s">
        <v>87</v>
      </c>
      <c r="B45" s="32"/>
      <c r="C45" s="33"/>
      <c r="D45" s="33"/>
    </row>
    <row r="46" spans="1:8" x14ac:dyDescent="0.35">
      <c r="A46" s="12" t="s">
        <v>88</v>
      </c>
      <c r="B46" s="13" t="s">
        <v>89</v>
      </c>
      <c r="C46" s="12"/>
      <c r="D46" s="12" t="s">
        <v>90</v>
      </c>
    </row>
    <row r="47" spans="1:8" x14ac:dyDescent="0.35">
      <c r="A47" s="14" t="s">
        <v>91</v>
      </c>
      <c r="B47" s="11" t="s">
        <v>92</v>
      </c>
    </row>
    <row r="48" spans="1:8" x14ac:dyDescent="0.35">
      <c r="A48" s="14" t="s">
        <v>93</v>
      </c>
      <c r="B48" s="11" t="s">
        <v>94</v>
      </c>
      <c r="C48" s="21">
        <f>D43-22000</f>
        <v>4400</v>
      </c>
      <c r="D48" s="21">
        <f>B48*C48</f>
        <v>880</v>
      </c>
    </row>
    <row r="49" spans="1:7" x14ac:dyDescent="0.35">
      <c r="A49" s="14" t="s">
        <v>95</v>
      </c>
      <c r="B49" s="11" t="s">
        <v>96</v>
      </c>
    </row>
    <row r="50" spans="1:7" x14ac:dyDescent="0.35">
      <c r="A50" s="14" t="s">
        <v>97</v>
      </c>
      <c r="B50" s="11" t="s">
        <v>98</v>
      </c>
    </row>
    <row r="51" spans="1:7" x14ac:dyDescent="0.35">
      <c r="A51" s="14" t="s">
        <v>99</v>
      </c>
      <c r="B51" s="11" t="s">
        <v>100</v>
      </c>
    </row>
    <row r="52" spans="1:7" x14ac:dyDescent="0.35">
      <c r="A52" s="14" t="s">
        <v>101</v>
      </c>
      <c r="B52" s="11" t="s">
        <v>102</v>
      </c>
      <c r="D52" s="24">
        <f>SUM(D48:D51)</f>
        <v>880</v>
      </c>
      <c r="E52" s="26" t="s">
        <v>117</v>
      </c>
      <c r="F52" s="25">
        <f>'TF59_2026 Previously'!D52-TF59_2026!D52</f>
        <v>1732.5</v>
      </c>
      <c r="G52" s="21"/>
    </row>
    <row r="53" spans="1:7" x14ac:dyDescent="0.35">
      <c r="A53" s="14" t="s">
        <v>103</v>
      </c>
      <c r="B53" s="11" t="s">
        <v>104</v>
      </c>
      <c r="D53" s="23">
        <f>D52*D12/D17</f>
        <v>660</v>
      </c>
    </row>
    <row r="54" spans="1:7" x14ac:dyDescent="0.35">
      <c r="A54" s="14" t="s">
        <v>105</v>
      </c>
      <c r="B54" s="11" t="s">
        <v>129</v>
      </c>
      <c r="D54" s="23">
        <f>D53/12</f>
        <v>55</v>
      </c>
    </row>
    <row r="55" spans="1:7" x14ac:dyDescent="0.35">
      <c r="A55" s="14" t="s">
        <v>107</v>
      </c>
      <c r="B55" s="11" t="s">
        <v>108</v>
      </c>
    </row>
    <row r="58" spans="1:7" x14ac:dyDescent="0.35">
      <c r="B58" s="33" t="s">
        <v>109</v>
      </c>
      <c r="C58" s="33"/>
      <c r="D58" s="33"/>
    </row>
    <row r="59" spans="1:7" ht="29" x14ac:dyDescent="0.35">
      <c r="B59" s="52" t="s">
        <v>120</v>
      </c>
      <c r="C59" s="42" t="s">
        <v>121</v>
      </c>
      <c r="D59" s="46" t="s">
        <v>122</v>
      </c>
      <c r="E59" s="43" t="s">
        <v>124</v>
      </c>
    </row>
    <row r="60" spans="1:7" x14ac:dyDescent="0.35">
      <c r="B60" s="47" t="s">
        <v>123</v>
      </c>
      <c r="C60" s="40">
        <f>D52</f>
        <v>880</v>
      </c>
      <c r="D60" s="50">
        <f>'TF59_2026 Previously'!D52</f>
        <v>2612.5</v>
      </c>
      <c r="E60" s="41">
        <f>D60-C60</f>
        <v>1732.5</v>
      </c>
    </row>
    <row r="61" spans="1:7" x14ac:dyDescent="0.35">
      <c r="B61" s="47" t="s">
        <v>125</v>
      </c>
      <c r="C61" s="40">
        <v>0</v>
      </c>
      <c r="D61" s="48">
        <f>C15*0.75*0.03</f>
        <v>225</v>
      </c>
      <c r="E61" s="41">
        <f>D61-C61</f>
        <v>225</v>
      </c>
    </row>
    <row r="62" spans="1:7" x14ac:dyDescent="0.35">
      <c r="B62" s="47" t="s">
        <v>126</v>
      </c>
      <c r="C62" s="40">
        <f>C34</f>
        <v>2640</v>
      </c>
      <c r="D62" s="48">
        <f>C34</f>
        <v>2640</v>
      </c>
      <c r="E62" s="41">
        <f>D62-C62</f>
        <v>0</v>
      </c>
    </row>
    <row r="63" spans="1:7" x14ac:dyDescent="0.35">
      <c r="B63" s="47" t="s">
        <v>127</v>
      </c>
      <c r="C63" s="40">
        <f>C35</f>
        <v>1060</v>
      </c>
      <c r="D63" s="51">
        <f>C35</f>
        <v>1060</v>
      </c>
      <c r="E63" s="41">
        <f>D63-C63</f>
        <v>0</v>
      </c>
    </row>
    <row r="64" spans="1:7" x14ac:dyDescent="0.35">
      <c r="B64" s="53" t="s">
        <v>128</v>
      </c>
      <c r="C64" s="44">
        <f>SUM(C60:C63)</f>
        <v>4580</v>
      </c>
      <c r="D64" s="49">
        <f>SUM(D60:D63)</f>
        <v>6537.5</v>
      </c>
      <c r="E64" s="45">
        <f>SUM(E60:E63)</f>
        <v>1957.5</v>
      </c>
    </row>
  </sheetData>
  <mergeCells count="12">
    <mergeCell ref="B58:D58"/>
    <mergeCell ref="A1:D1"/>
    <mergeCell ref="A2:D2"/>
    <mergeCell ref="A3:D3"/>
    <mergeCell ref="A4:D4"/>
    <mergeCell ref="A5:D5"/>
    <mergeCell ref="A6:D6"/>
    <mergeCell ref="A7:D7"/>
    <mergeCell ref="A8:D8"/>
    <mergeCell ref="A10:D10"/>
    <mergeCell ref="A25:D25"/>
    <mergeCell ref="A45:D4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C8FEC-A7B5-41B9-B90A-3807BACB5510}">
  <dimension ref="A1:F58"/>
  <sheetViews>
    <sheetView topLeftCell="A37" workbookViewId="0">
      <selection activeCell="D52" sqref="D52"/>
    </sheetView>
  </sheetViews>
  <sheetFormatPr defaultRowHeight="14.5" x14ac:dyDescent="0.35"/>
  <cols>
    <col min="1" max="1" width="22.26953125" bestFit="1" customWidth="1"/>
    <col min="2" max="2" width="62" customWidth="1"/>
    <col min="3" max="4" width="20" customWidth="1"/>
    <col min="5" max="5" width="9.1796875" bestFit="1" customWidth="1"/>
  </cols>
  <sheetData>
    <row r="1" spans="1:4" ht="18.5" x14ac:dyDescent="0.45">
      <c r="A1" s="34" t="s">
        <v>19</v>
      </c>
      <c r="B1" s="33"/>
      <c r="C1" s="33"/>
      <c r="D1" s="33"/>
    </row>
    <row r="2" spans="1:4" x14ac:dyDescent="0.35">
      <c r="A2" s="35" t="s">
        <v>20</v>
      </c>
      <c r="B2" s="30"/>
      <c r="C2" s="30"/>
      <c r="D2" s="30"/>
    </row>
    <row r="3" spans="1:4" x14ac:dyDescent="0.35">
      <c r="A3" s="29" t="s">
        <v>21</v>
      </c>
      <c r="B3" s="30"/>
      <c r="C3" s="30"/>
      <c r="D3" s="30"/>
    </row>
    <row r="4" spans="1:4" x14ac:dyDescent="0.35">
      <c r="A4" s="29" t="s">
        <v>22</v>
      </c>
      <c r="B4" s="30"/>
      <c r="C4" s="30"/>
      <c r="D4" s="30"/>
    </row>
    <row r="5" spans="1:4" x14ac:dyDescent="0.35">
      <c r="A5" s="29" t="s">
        <v>23</v>
      </c>
      <c r="B5" s="30"/>
      <c r="C5" s="30"/>
      <c r="D5" s="30"/>
    </row>
    <row r="6" spans="1:4" x14ac:dyDescent="0.35">
      <c r="A6" s="29" t="s">
        <v>24</v>
      </c>
      <c r="B6" s="30"/>
      <c r="C6" s="30"/>
      <c r="D6" s="30"/>
    </row>
    <row r="7" spans="1:4" x14ac:dyDescent="0.35">
      <c r="A7" s="29" t="s">
        <v>25</v>
      </c>
      <c r="B7" s="30"/>
      <c r="C7" s="30"/>
      <c r="D7" s="30"/>
    </row>
    <row r="8" spans="1:4" x14ac:dyDescent="0.35">
      <c r="A8" s="29" t="s">
        <v>26</v>
      </c>
      <c r="B8" s="30"/>
      <c r="C8" s="30"/>
      <c r="D8" s="30"/>
    </row>
    <row r="9" spans="1:4" x14ac:dyDescent="0.35">
      <c r="B9" s="11"/>
    </row>
    <row r="10" spans="1:4" x14ac:dyDescent="0.35">
      <c r="A10" s="31" t="s">
        <v>27</v>
      </c>
      <c r="B10" s="32"/>
      <c r="C10" s="33"/>
      <c r="D10" s="33"/>
    </row>
    <row r="11" spans="1:4" x14ac:dyDescent="0.35">
      <c r="A11" s="12" t="s">
        <v>28</v>
      </c>
      <c r="B11" s="13" t="s">
        <v>29</v>
      </c>
      <c r="C11" s="12" t="s">
        <v>30</v>
      </c>
      <c r="D11" s="12" t="s">
        <v>119</v>
      </c>
    </row>
    <row r="12" spans="1:4" x14ac:dyDescent="0.35">
      <c r="A12" s="14" t="s">
        <v>32</v>
      </c>
      <c r="B12" s="11" t="s">
        <v>33</v>
      </c>
      <c r="D12" s="17">
        <v>30000</v>
      </c>
    </row>
    <row r="13" spans="1:4" x14ac:dyDescent="0.35">
      <c r="A13" s="14" t="s">
        <v>34</v>
      </c>
      <c r="B13" s="11" t="s">
        <v>35</v>
      </c>
    </row>
    <row r="14" spans="1:4" ht="29" x14ac:dyDescent="0.35">
      <c r="A14" s="14" t="s">
        <v>36</v>
      </c>
      <c r="B14" s="11" t="s">
        <v>37</v>
      </c>
    </row>
    <row r="15" spans="1:4" x14ac:dyDescent="0.35">
      <c r="A15" s="14" t="s">
        <v>38</v>
      </c>
      <c r="B15" s="11" t="s">
        <v>39</v>
      </c>
      <c r="C15" s="17">
        <v>10000</v>
      </c>
      <c r="D15" s="17">
        <v>10000</v>
      </c>
    </row>
    <row r="16" spans="1:4" x14ac:dyDescent="0.35">
      <c r="A16" s="14" t="s">
        <v>40</v>
      </c>
      <c r="B16" s="11" t="s">
        <v>41</v>
      </c>
    </row>
    <row r="17" spans="1:4" x14ac:dyDescent="0.35">
      <c r="A17" s="14" t="s">
        <v>42</v>
      </c>
      <c r="B17" s="11" t="s">
        <v>43</v>
      </c>
      <c r="D17" s="18">
        <f>SUM(D12:D16)</f>
        <v>40000</v>
      </c>
    </row>
    <row r="18" spans="1:4" x14ac:dyDescent="0.35">
      <c r="A18" s="14" t="s">
        <v>44</v>
      </c>
      <c r="B18" s="11" t="s">
        <v>45</v>
      </c>
    </row>
    <row r="19" spans="1:4" x14ac:dyDescent="0.35">
      <c r="A19" s="14" t="s">
        <v>46</v>
      </c>
      <c r="B19" s="16" t="s">
        <v>47</v>
      </c>
      <c r="D19" s="18">
        <f>D17-D18</f>
        <v>40000</v>
      </c>
    </row>
    <row r="20" spans="1:4" x14ac:dyDescent="0.35">
      <c r="A20" s="14" t="s">
        <v>48</v>
      </c>
      <c r="B20" s="11" t="s">
        <v>49</v>
      </c>
    </row>
    <row r="21" spans="1:4" x14ac:dyDescent="0.35">
      <c r="A21" s="14" t="s">
        <v>50</v>
      </c>
      <c r="B21" s="11" t="s">
        <v>51</v>
      </c>
    </row>
    <row r="22" spans="1:4" x14ac:dyDescent="0.35">
      <c r="A22" s="14" t="s">
        <v>52</v>
      </c>
      <c r="B22" s="11" t="s">
        <v>53</v>
      </c>
    </row>
    <row r="23" spans="1:4" x14ac:dyDescent="0.35">
      <c r="A23" s="14" t="s">
        <v>54</v>
      </c>
      <c r="B23" s="11" t="s">
        <v>55</v>
      </c>
    </row>
    <row r="24" spans="1:4" x14ac:dyDescent="0.35">
      <c r="A24" s="14"/>
      <c r="B24" s="11"/>
    </row>
    <row r="25" spans="1:4" x14ac:dyDescent="0.35">
      <c r="A25" s="31" t="s">
        <v>56</v>
      </c>
      <c r="B25" s="32"/>
      <c r="C25" s="33"/>
      <c r="D25" s="33"/>
    </row>
    <row r="26" spans="1:4" x14ac:dyDescent="0.35">
      <c r="A26" s="12" t="s">
        <v>28</v>
      </c>
      <c r="B26" s="13" t="s">
        <v>29</v>
      </c>
      <c r="C26" s="12" t="s">
        <v>30</v>
      </c>
      <c r="D26" s="12" t="s">
        <v>31</v>
      </c>
    </row>
    <row r="27" spans="1:4" x14ac:dyDescent="0.35">
      <c r="A27" s="14" t="s">
        <v>57</v>
      </c>
      <c r="B27" s="11" t="s">
        <v>58</v>
      </c>
      <c r="C27" s="17">
        <v>350</v>
      </c>
      <c r="D27" s="17">
        <v>500</v>
      </c>
    </row>
    <row r="28" spans="1:4" x14ac:dyDescent="0.35">
      <c r="A28" s="14" t="s">
        <v>59</v>
      </c>
      <c r="B28" s="11" t="s">
        <v>60</v>
      </c>
      <c r="C28" s="17"/>
      <c r="D28" s="17"/>
    </row>
    <row r="29" spans="1:4" x14ac:dyDescent="0.35">
      <c r="A29" s="14" t="s">
        <v>61</v>
      </c>
      <c r="B29" s="15" t="s">
        <v>62</v>
      </c>
      <c r="C29" s="17"/>
      <c r="D29" s="17"/>
    </row>
    <row r="30" spans="1:4" ht="29" x14ac:dyDescent="0.35">
      <c r="A30" s="14" t="s">
        <v>63</v>
      </c>
      <c r="B30" s="11" t="s">
        <v>64</v>
      </c>
      <c r="C30" s="17">
        <f>2000+1000</f>
        <v>3000</v>
      </c>
      <c r="D30" s="17">
        <v>3000</v>
      </c>
    </row>
    <row r="31" spans="1:4" x14ac:dyDescent="0.35">
      <c r="A31" s="14" t="s">
        <v>65</v>
      </c>
      <c r="B31" s="11" t="s">
        <v>66</v>
      </c>
      <c r="C31" s="17">
        <v>300</v>
      </c>
      <c r="D31" s="17">
        <v>300</v>
      </c>
    </row>
    <row r="32" spans="1:4" x14ac:dyDescent="0.35">
      <c r="A32" s="14" t="s">
        <v>67</v>
      </c>
      <c r="B32" s="16" t="s">
        <v>68</v>
      </c>
      <c r="C32" s="17"/>
      <c r="D32" s="36">
        <f>D19-D27-D28-D29-D30-D31</f>
        <v>36200</v>
      </c>
    </row>
    <row r="33" spans="1:6" x14ac:dyDescent="0.35">
      <c r="A33" s="14"/>
      <c r="B33" s="16"/>
      <c r="C33" s="17"/>
      <c r="D33" s="36"/>
    </row>
    <row r="34" spans="1:6" x14ac:dyDescent="0.35">
      <c r="A34" s="19" t="s">
        <v>69</v>
      </c>
      <c r="B34" s="20" t="s">
        <v>70</v>
      </c>
      <c r="C34" s="37">
        <f>0.088*D12</f>
        <v>2640</v>
      </c>
      <c r="D34" s="17"/>
      <c r="E34" t="s">
        <v>110</v>
      </c>
    </row>
    <row r="35" spans="1:6" x14ac:dyDescent="0.35">
      <c r="A35" s="19" t="s">
        <v>71</v>
      </c>
      <c r="B35" s="20" t="s">
        <v>72</v>
      </c>
      <c r="C35" s="37">
        <f>D12*0.0265+C15*0.0265</f>
        <v>1060</v>
      </c>
      <c r="D35" s="17"/>
      <c r="E35" s="21">
        <f>D32*0.2</f>
        <v>7240</v>
      </c>
      <c r="F35" t="s">
        <v>111</v>
      </c>
    </row>
    <row r="36" spans="1:6" x14ac:dyDescent="0.35">
      <c r="A36" s="19" t="s">
        <v>73</v>
      </c>
      <c r="B36" s="20" t="s">
        <v>74</v>
      </c>
      <c r="C36" s="37">
        <v>1000</v>
      </c>
      <c r="D36" s="17"/>
    </row>
    <row r="37" spans="1:6" x14ac:dyDescent="0.35">
      <c r="A37" s="14" t="s">
        <v>75</v>
      </c>
      <c r="B37" s="15" t="s">
        <v>76</v>
      </c>
      <c r="C37" s="17"/>
      <c r="D37" s="17"/>
    </row>
    <row r="38" spans="1:6" x14ac:dyDescent="0.35">
      <c r="A38" s="14" t="s">
        <v>77</v>
      </c>
      <c r="B38" s="15" t="s">
        <v>78</v>
      </c>
      <c r="C38" s="17"/>
      <c r="D38" s="17"/>
    </row>
    <row r="39" spans="1:6" x14ac:dyDescent="0.35">
      <c r="A39" s="14" t="s">
        <v>79</v>
      </c>
      <c r="B39" s="15" t="s">
        <v>80</v>
      </c>
      <c r="C39" s="17"/>
      <c r="D39" s="17"/>
    </row>
    <row r="40" spans="1:6" x14ac:dyDescent="0.35">
      <c r="A40" s="14" t="s">
        <v>81</v>
      </c>
      <c r="B40" s="11" t="s">
        <v>82</v>
      </c>
      <c r="C40" s="17"/>
      <c r="D40" s="17"/>
    </row>
    <row r="41" spans="1:6" x14ac:dyDescent="0.35">
      <c r="A41" s="14"/>
      <c r="B41" s="11"/>
      <c r="C41" s="17"/>
      <c r="D41" s="17"/>
    </row>
    <row r="42" spans="1:6" x14ac:dyDescent="0.35">
      <c r="A42" s="14" t="s">
        <v>83</v>
      </c>
      <c r="B42" s="16" t="s">
        <v>84</v>
      </c>
      <c r="C42" s="17"/>
      <c r="D42" s="22">
        <f>SUM(C27:C42)</f>
        <v>8350</v>
      </c>
    </row>
    <row r="43" spans="1:6" x14ac:dyDescent="0.35">
      <c r="A43" s="14" t="s">
        <v>85</v>
      </c>
      <c r="B43" s="16" t="s">
        <v>86</v>
      </c>
      <c r="C43" s="17"/>
      <c r="D43" s="38">
        <f>D19-D42</f>
        <v>31650</v>
      </c>
    </row>
    <row r="44" spans="1:6" x14ac:dyDescent="0.35">
      <c r="B44" s="11"/>
    </row>
    <row r="45" spans="1:6" x14ac:dyDescent="0.35">
      <c r="A45" s="31" t="s">
        <v>87</v>
      </c>
      <c r="B45" s="32"/>
      <c r="C45" s="33"/>
      <c r="D45" s="33"/>
    </row>
    <row r="46" spans="1:6" x14ac:dyDescent="0.35">
      <c r="A46" s="12" t="s">
        <v>88</v>
      </c>
      <c r="B46" s="13" t="s">
        <v>89</v>
      </c>
      <c r="C46" s="12"/>
      <c r="D46" s="12" t="s">
        <v>90</v>
      </c>
    </row>
    <row r="47" spans="1:6" x14ac:dyDescent="0.35">
      <c r="A47" s="14" t="s">
        <v>112</v>
      </c>
      <c r="B47" s="11" t="s">
        <v>92</v>
      </c>
    </row>
    <row r="48" spans="1:6" x14ac:dyDescent="0.35">
      <c r="A48" s="14" t="s">
        <v>113</v>
      </c>
      <c r="B48" s="11" t="s">
        <v>94</v>
      </c>
      <c r="C48" s="17">
        <f>28000-19500</f>
        <v>8500</v>
      </c>
      <c r="D48" s="21">
        <f>B48*C48</f>
        <v>1700</v>
      </c>
    </row>
    <row r="49" spans="1:4" x14ac:dyDescent="0.35">
      <c r="A49" s="14" t="s">
        <v>114</v>
      </c>
      <c r="B49" s="11" t="s">
        <v>96</v>
      </c>
      <c r="C49" s="17">
        <f>31650-28000</f>
        <v>3650</v>
      </c>
      <c r="D49" s="21">
        <f>B49*C49</f>
        <v>912.5</v>
      </c>
    </row>
    <row r="50" spans="1:4" x14ac:dyDescent="0.35">
      <c r="A50" s="14" t="s">
        <v>115</v>
      </c>
      <c r="B50" s="11" t="s">
        <v>98</v>
      </c>
    </row>
    <row r="51" spans="1:4" x14ac:dyDescent="0.35">
      <c r="A51" s="14" t="s">
        <v>116</v>
      </c>
      <c r="B51" s="11" t="s">
        <v>100</v>
      </c>
    </row>
    <row r="52" spans="1:4" x14ac:dyDescent="0.35">
      <c r="A52" s="14" t="s">
        <v>101</v>
      </c>
      <c r="B52" s="11" t="s">
        <v>102</v>
      </c>
      <c r="D52" s="24">
        <f>SUM(D48:D51)</f>
        <v>2612.5</v>
      </c>
    </row>
    <row r="53" spans="1:4" x14ac:dyDescent="0.35">
      <c r="A53" s="14" t="s">
        <v>103</v>
      </c>
      <c r="B53" s="11" t="s">
        <v>104</v>
      </c>
      <c r="D53" s="23">
        <f>D52*D12/D17</f>
        <v>1959.375</v>
      </c>
    </row>
    <row r="54" spans="1:4" ht="29" x14ac:dyDescent="0.35">
      <c r="A54" s="14" t="s">
        <v>105</v>
      </c>
      <c r="B54" s="11" t="s">
        <v>106</v>
      </c>
      <c r="D54" s="23">
        <f>D53/12</f>
        <v>163.28125</v>
      </c>
    </row>
    <row r="55" spans="1:4" x14ac:dyDescent="0.35">
      <c r="A55" s="14" t="s">
        <v>107</v>
      </c>
      <c r="B55" s="11" t="s">
        <v>108</v>
      </c>
    </row>
    <row r="58" spans="1:4" x14ac:dyDescent="0.35">
      <c r="B58" s="33" t="s">
        <v>109</v>
      </c>
      <c r="C58" s="33"/>
      <c r="D58" s="33"/>
    </row>
  </sheetData>
  <mergeCells count="12">
    <mergeCell ref="B58:D58"/>
    <mergeCell ref="A1:D1"/>
    <mergeCell ref="A2:D2"/>
    <mergeCell ref="A3:D3"/>
    <mergeCell ref="A4:D4"/>
    <mergeCell ref="A5:D5"/>
    <mergeCell ref="A6:D6"/>
    <mergeCell ref="A7:D7"/>
    <mergeCell ref="A8:D8"/>
    <mergeCell ref="A10:D10"/>
    <mergeCell ref="A25:D25"/>
    <mergeCell ref="A45:D4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07447-5740-4266-94B1-DFF96C4C7A17}">
  <dimension ref="B2:K7"/>
  <sheetViews>
    <sheetView workbookViewId="0">
      <selection activeCell="D11" sqref="D11"/>
    </sheetView>
  </sheetViews>
  <sheetFormatPr defaultRowHeight="14.5" x14ac:dyDescent="0.35"/>
  <cols>
    <col min="2" max="2" width="14.6328125" customWidth="1"/>
    <col min="3" max="3" width="8.08984375" customWidth="1"/>
    <col min="4" max="4" width="13.81640625" customWidth="1"/>
    <col min="7" max="7" width="27.7265625" bestFit="1" customWidth="1"/>
    <col min="8" max="8" width="12.26953125" customWidth="1"/>
    <col min="10" max="10" width="31.6328125" customWidth="1"/>
  </cols>
  <sheetData>
    <row r="2" spans="2:11" ht="30.5" customHeight="1" x14ac:dyDescent="0.35">
      <c r="B2" s="1" t="s">
        <v>2</v>
      </c>
      <c r="C2" s="2" t="s">
        <v>0</v>
      </c>
      <c r="D2" s="1" t="s">
        <v>1</v>
      </c>
      <c r="G2" s="1" t="s">
        <v>14</v>
      </c>
      <c r="H2" s="1" t="s">
        <v>11</v>
      </c>
      <c r="J2" s="1" t="s">
        <v>18</v>
      </c>
      <c r="K2" s="1" t="s">
        <v>13</v>
      </c>
    </row>
    <row r="3" spans="2:11" x14ac:dyDescent="0.35">
      <c r="B3" s="3" t="s">
        <v>3</v>
      </c>
      <c r="C3" s="4">
        <v>0</v>
      </c>
      <c r="D3" s="5">
        <v>0</v>
      </c>
      <c r="G3" t="s">
        <v>8</v>
      </c>
      <c r="H3" s="9">
        <v>1000</v>
      </c>
      <c r="J3" t="s">
        <v>15</v>
      </c>
      <c r="K3" s="10">
        <v>100000</v>
      </c>
    </row>
    <row r="4" spans="2:11" x14ac:dyDescent="0.35">
      <c r="B4" s="3" t="s">
        <v>4</v>
      </c>
      <c r="C4" s="4">
        <v>20</v>
      </c>
      <c r="D4" s="6">
        <f>0.2*10000</f>
        <v>2000</v>
      </c>
      <c r="G4" t="s">
        <v>9</v>
      </c>
      <c r="H4" s="9">
        <v>1250</v>
      </c>
      <c r="J4" t="s">
        <v>16</v>
      </c>
      <c r="K4" s="10">
        <v>150000</v>
      </c>
    </row>
    <row r="5" spans="2:11" x14ac:dyDescent="0.35">
      <c r="B5" s="3" t="s">
        <v>5</v>
      </c>
      <c r="C5" s="4">
        <v>25</v>
      </c>
      <c r="D5" s="6">
        <v>4500</v>
      </c>
      <c r="G5" t="s">
        <v>10</v>
      </c>
      <c r="H5" s="9">
        <v>1500</v>
      </c>
      <c r="J5" t="s">
        <v>17</v>
      </c>
      <c r="K5" s="10">
        <v>200000</v>
      </c>
    </row>
    <row r="6" spans="2:11" x14ac:dyDescent="0.35">
      <c r="B6" s="3" t="s">
        <v>6</v>
      </c>
      <c r="C6" s="4">
        <v>30</v>
      </c>
      <c r="D6" s="6">
        <v>13500</v>
      </c>
    </row>
    <row r="7" spans="2:11" x14ac:dyDescent="0.35">
      <c r="B7" s="7" t="s">
        <v>7</v>
      </c>
      <c r="C7" s="4">
        <v>35</v>
      </c>
      <c r="D7" s="6"/>
      <c r="G7" s="8" t="s">
        <v>12</v>
      </c>
    </row>
  </sheetData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C952D-DD16-4586-A77D-0C059783B925}">
  <dimension ref="B3:E18"/>
  <sheetViews>
    <sheetView topLeftCell="A2" workbookViewId="0">
      <selection activeCell="B3" sqref="B3:E18"/>
    </sheetView>
  </sheetViews>
  <sheetFormatPr defaultRowHeight="14.5" x14ac:dyDescent="0.35"/>
  <cols>
    <col min="2" max="2" width="43.81640625" customWidth="1"/>
    <col min="3" max="3" width="2.26953125" customWidth="1"/>
    <col min="4" max="4" width="14.26953125" customWidth="1"/>
    <col min="5" max="5" width="13.26953125" customWidth="1"/>
  </cols>
  <sheetData>
    <row r="3" spans="2:5" ht="58" x14ac:dyDescent="0.35">
      <c r="B3" s="54" t="s">
        <v>130</v>
      </c>
      <c r="C3" s="20"/>
      <c r="D3" s="55" t="s">
        <v>134</v>
      </c>
      <c r="E3" s="55" t="s">
        <v>135</v>
      </c>
    </row>
    <row r="5" spans="2:5" x14ac:dyDescent="0.35">
      <c r="B5" t="s">
        <v>131</v>
      </c>
      <c r="D5" s="17">
        <v>150000</v>
      </c>
      <c r="E5" s="17">
        <f>D5</f>
        <v>150000</v>
      </c>
    </row>
    <row r="6" spans="2:5" x14ac:dyDescent="0.35">
      <c r="D6" s="17"/>
      <c r="E6" s="17"/>
    </row>
    <row r="7" spans="2:5" x14ac:dyDescent="0.35">
      <c r="B7" t="s">
        <v>138</v>
      </c>
      <c r="D7" s="17">
        <v>-100000</v>
      </c>
      <c r="E7" s="17">
        <v>-100000</v>
      </c>
    </row>
    <row r="8" spans="2:5" x14ac:dyDescent="0.35">
      <c r="B8" t="s">
        <v>139</v>
      </c>
      <c r="D8" s="17"/>
      <c r="E8" s="17"/>
    </row>
    <row r="9" spans="2:5" x14ac:dyDescent="0.35">
      <c r="D9" s="17"/>
      <c r="E9" s="17"/>
    </row>
    <row r="10" spans="2:5" x14ac:dyDescent="0.35">
      <c r="B10" t="s">
        <v>132</v>
      </c>
      <c r="D10" s="17">
        <f>D5+D7</f>
        <v>50000</v>
      </c>
      <c r="E10" s="17">
        <f>E5+E7</f>
        <v>50000</v>
      </c>
    </row>
    <row r="11" spans="2:5" x14ac:dyDescent="0.35">
      <c r="D11" s="17"/>
      <c r="E11" s="17"/>
    </row>
    <row r="12" spans="2:5" x14ac:dyDescent="0.35">
      <c r="B12" t="s">
        <v>133</v>
      </c>
      <c r="D12" s="17">
        <v>-30000</v>
      </c>
      <c r="E12" s="17">
        <v>-17086</v>
      </c>
    </row>
    <row r="13" spans="2:5" x14ac:dyDescent="0.35">
      <c r="D13" s="17"/>
      <c r="E13" s="17"/>
    </row>
    <row r="14" spans="2:5" x14ac:dyDescent="0.35">
      <c r="B14" t="s">
        <v>137</v>
      </c>
      <c r="D14" s="17">
        <f>D10+D12</f>
        <v>20000</v>
      </c>
      <c r="E14" s="17">
        <f>E10+E12</f>
        <v>32914</v>
      </c>
    </row>
    <row r="15" spans="2:5" x14ac:dyDescent="0.35">
      <c r="D15" s="17"/>
      <c r="E15" s="17"/>
    </row>
    <row r="16" spans="2:5" x14ac:dyDescent="0.35">
      <c r="B16" s="39" t="s">
        <v>136</v>
      </c>
      <c r="C16" s="39"/>
      <c r="D16" s="22">
        <f>D14*0.2</f>
        <v>4000</v>
      </c>
      <c r="E16" s="22">
        <f>E14*0.2</f>
        <v>6582.8</v>
      </c>
    </row>
    <row r="18" spans="2:4" x14ac:dyDescent="0.35">
      <c r="B18" s="39" t="s">
        <v>124</v>
      </c>
      <c r="C18" s="39"/>
      <c r="D18" s="23">
        <f>E16-D16</f>
        <v>2582.8000000000002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C8D4D-D5D5-45C9-BB31-184A55DFE66B}">
  <dimension ref="C4:F43"/>
  <sheetViews>
    <sheetView topLeftCell="A13" workbookViewId="0">
      <selection activeCell="H21" sqref="H21"/>
    </sheetView>
  </sheetViews>
  <sheetFormatPr defaultRowHeight="14.5" x14ac:dyDescent="0.35"/>
  <cols>
    <col min="3" max="3" width="40.1796875" customWidth="1"/>
    <col min="4" max="4" width="7.08984375" customWidth="1"/>
    <col min="5" max="5" width="18.453125" customWidth="1"/>
    <col min="6" max="6" width="16.7265625" customWidth="1"/>
  </cols>
  <sheetData>
    <row r="4" spans="3:6" ht="46" customHeight="1" x14ac:dyDescent="0.35">
      <c r="C4" s="56" t="s">
        <v>141</v>
      </c>
      <c r="E4" s="57" t="s">
        <v>140</v>
      </c>
      <c r="F4" s="57" t="s">
        <v>122</v>
      </c>
    </row>
    <row r="6" spans="3:6" x14ac:dyDescent="0.35">
      <c r="C6" s="39" t="s">
        <v>123</v>
      </c>
    </row>
    <row r="8" spans="3:6" x14ac:dyDescent="0.35">
      <c r="C8" t="s">
        <v>152</v>
      </c>
      <c r="E8" s="17">
        <v>100000</v>
      </c>
      <c r="F8" s="17">
        <v>100000</v>
      </c>
    </row>
    <row r="10" spans="3:6" x14ac:dyDescent="0.35">
      <c r="C10" t="s">
        <v>123</v>
      </c>
      <c r="E10" s="21">
        <f>E8*E11</f>
        <v>15000</v>
      </c>
      <c r="F10" s="21">
        <f>F8*F11</f>
        <v>12500</v>
      </c>
    </row>
    <row r="11" spans="3:6" x14ac:dyDescent="0.35">
      <c r="E11" s="60">
        <v>0.15</v>
      </c>
      <c r="F11" s="61">
        <v>0.125</v>
      </c>
    </row>
    <row r="13" spans="3:6" x14ac:dyDescent="0.35">
      <c r="C13" t="s">
        <v>142</v>
      </c>
      <c r="E13" s="21">
        <f>E8-E10</f>
        <v>85000</v>
      </c>
      <c r="F13" s="21">
        <f>F8-F10</f>
        <v>87500</v>
      </c>
    </row>
    <row r="16" spans="3:6" x14ac:dyDescent="0.35">
      <c r="C16" s="39" t="s">
        <v>144</v>
      </c>
    </row>
    <row r="18" spans="3:6" x14ac:dyDescent="0.35">
      <c r="C18" t="s">
        <v>143</v>
      </c>
      <c r="E18" s="21">
        <f>E13</f>
        <v>85000</v>
      </c>
      <c r="F18" s="21">
        <f>F13</f>
        <v>87500</v>
      </c>
    </row>
    <row r="20" spans="3:6" x14ac:dyDescent="0.35">
      <c r="C20" t="s">
        <v>125</v>
      </c>
      <c r="E20" s="21">
        <f>E18*0.05</f>
        <v>4250</v>
      </c>
      <c r="F20" s="21">
        <f>F18*0.17</f>
        <v>14875.000000000002</v>
      </c>
    </row>
    <row r="21" spans="3:6" x14ac:dyDescent="0.35">
      <c r="E21" s="60">
        <v>0.05</v>
      </c>
      <c r="F21" s="60">
        <v>0.17</v>
      </c>
    </row>
    <row r="23" spans="3:6" x14ac:dyDescent="0.35">
      <c r="C23" t="s">
        <v>145</v>
      </c>
      <c r="E23" s="21">
        <f>E13*0.0265</f>
        <v>2252.5</v>
      </c>
      <c r="F23" s="21">
        <f>F13*0.0265</f>
        <v>2318.75</v>
      </c>
    </row>
    <row r="24" spans="3:6" x14ac:dyDescent="0.35">
      <c r="E24" s="61">
        <v>2.6499999999999999E-2</v>
      </c>
      <c r="F24" s="61">
        <v>2.6499999999999999E-2</v>
      </c>
    </row>
    <row r="25" spans="3:6" x14ac:dyDescent="0.35">
      <c r="E25" s="58"/>
    </row>
    <row r="26" spans="3:6" x14ac:dyDescent="0.35">
      <c r="C26" t="s">
        <v>146</v>
      </c>
      <c r="E26" s="21">
        <f>E18-E20</f>
        <v>80750</v>
      </c>
      <c r="F26" s="21">
        <f>F18-F20</f>
        <v>72625</v>
      </c>
    </row>
    <row r="28" spans="3:6" ht="43.5" x14ac:dyDescent="0.35">
      <c r="C28" s="54" t="s">
        <v>149</v>
      </c>
      <c r="D28" s="20"/>
      <c r="E28" s="62" t="s">
        <v>140</v>
      </c>
      <c r="F28" s="62" t="s">
        <v>122</v>
      </c>
    </row>
    <row r="29" spans="3:6" x14ac:dyDescent="0.35">
      <c r="C29" t="s">
        <v>123</v>
      </c>
      <c r="E29" s="21">
        <f>E10</f>
        <v>15000</v>
      </c>
      <c r="F29" s="21">
        <f>F10</f>
        <v>12500</v>
      </c>
    </row>
    <row r="30" spans="3:6" x14ac:dyDescent="0.35">
      <c r="C30" t="s">
        <v>148</v>
      </c>
      <c r="E30" s="21">
        <f>E20</f>
        <v>4250</v>
      </c>
      <c r="F30" s="21">
        <f>F20</f>
        <v>14875.000000000002</v>
      </c>
    </row>
    <row r="31" spans="3:6" x14ac:dyDescent="0.35">
      <c r="C31" t="s">
        <v>147</v>
      </c>
      <c r="E31" s="21">
        <f>E23</f>
        <v>2252.5</v>
      </c>
      <c r="F31" s="21">
        <f>F23</f>
        <v>2318.75</v>
      </c>
    </row>
    <row r="32" spans="3:6" x14ac:dyDescent="0.35">
      <c r="C32" s="39" t="s">
        <v>150</v>
      </c>
      <c r="E32" s="23">
        <f>SUM(E29:E31)</f>
        <v>21502.5</v>
      </c>
      <c r="F32" s="23">
        <f>SUM(F29:F31)</f>
        <v>29693.75</v>
      </c>
    </row>
    <row r="34" spans="3:6" x14ac:dyDescent="0.35">
      <c r="C34" s="39" t="s">
        <v>151</v>
      </c>
      <c r="E34" s="63">
        <f>E32/E8</f>
        <v>0.21502499999999999</v>
      </c>
      <c r="F34" s="63">
        <f>F32/F8</f>
        <v>0.29693750000000002</v>
      </c>
    </row>
    <row r="37" spans="3:6" x14ac:dyDescent="0.35">
      <c r="C37" s="39"/>
    </row>
    <row r="39" spans="3:6" x14ac:dyDescent="0.35">
      <c r="C39" s="14"/>
      <c r="D39" s="11"/>
    </row>
    <row r="40" spans="3:6" x14ac:dyDescent="0.35">
      <c r="C40" s="14"/>
      <c r="D40" s="11"/>
    </row>
    <row r="41" spans="3:6" x14ac:dyDescent="0.35">
      <c r="C41" s="14"/>
      <c r="D41" s="11"/>
    </row>
    <row r="42" spans="3:6" x14ac:dyDescent="0.35">
      <c r="C42" s="14"/>
      <c r="D42" s="11"/>
    </row>
    <row r="43" spans="3:6" x14ac:dyDescent="0.35">
      <c r="C43" s="14"/>
      <c r="D43" s="1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2CBE3-9469-4679-8BD8-9D552F0EF3D3}">
  <dimension ref="B1:G18"/>
  <sheetViews>
    <sheetView tabSelected="1" workbookViewId="0">
      <selection activeCell="F18" sqref="F18"/>
    </sheetView>
  </sheetViews>
  <sheetFormatPr defaultRowHeight="14.5" x14ac:dyDescent="0.35"/>
  <cols>
    <col min="4" max="4" width="12.6328125" customWidth="1"/>
    <col min="5" max="5" width="17.453125" bestFit="1" customWidth="1"/>
  </cols>
  <sheetData>
    <row r="1" spans="2:7" x14ac:dyDescent="0.35">
      <c r="B1" s="39" t="s">
        <v>167</v>
      </c>
    </row>
    <row r="2" spans="2:7" x14ac:dyDescent="0.35">
      <c r="B2" s="59" t="s">
        <v>153</v>
      </c>
    </row>
    <row r="4" spans="2:7" x14ac:dyDescent="0.35">
      <c r="B4" s="39" t="s">
        <v>154</v>
      </c>
      <c r="C4" s="39" t="s">
        <v>155</v>
      </c>
    </row>
    <row r="5" spans="2:7" x14ac:dyDescent="0.35">
      <c r="B5">
        <v>40000</v>
      </c>
      <c r="C5">
        <v>60000</v>
      </c>
    </row>
    <row r="6" spans="2:7" x14ac:dyDescent="0.35">
      <c r="E6" s="64" t="s">
        <v>159</v>
      </c>
      <c r="F6" s="64" t="s">
        <v>160</v>
      </c>
    </row>
    <row r="7" spans="2:7" x14ac:dyDescent="0.35">
      <c r="B7" t="s">
        <v>156</v>
      </c>
      <c r="E7">
        <f>B5*0.7</f>
        <v>28000</v>
      </c>
      <c r="F7">
        <f>E7*0.17</f>
        <v>4760</v>
      </c>
      <c r="G7" t="s">
        <v>157</v>
      </c>
    </row>
    <row r="8" spans="2:7" x14ac:dyDescent="0.35">
      <c r="B8" t="s">
        <v>158</v>
      </c>
      <c r="E8">
        <f>C5*0.7</f>
        <v>42000</v>
      </c>
      <c r="F8">
        <f>F7*0.7</f>
        <v>3332</v>
      </c>
      <c r="G8" t="s">
        <v>168</v>
      </c>
    </row>
    <row r="9" spans="2:7" x14ac:dyDescent="0.35">
      <c r="B9" s="39" t="s">
        <v>165</v>
      </c>
      <c r="F9" s="39">
        <f>SUM(F7:F8)</f>
        <v>8092</v>
      </c>
    </row>
    <row r="11" spans="2:7" x14ac:dyDescent="0.35">
      <c r="B11" s="59" t="s">
        <v>161</v>
      </c>
    </row>
    <row r="13" spans="2:7" x14ac:dyDescent="0.35">
      <c r="B13" t="s">
        <v>143</v>
      </c>
      <c r="E13">
        <v>100000</v>
      </c>
    </row>
    <row r="14" spans="2:7" x14ac:dyDescent="0.35">
      <c r="B14" t="s">
        <v>162</v>
      </c>
      <c r="E14">
        <v>70000</v>
      </c>
    </row>
    <row r="15" spans="2:7" x14ac:dyDescent="0.35">
      <c r="B15" t="s">
        <v>163</v>
      </c>
      <c r="E15" s="39">
        <v>30000</v>
      </c>
    </row>
    <row r="16" spans="2:7" x14ac:dyDescent="0.35">
      <c r="B16" s="39" t="s">
        <v>164</v>
      </c>
      <c r="F16" s="39">
        <f>E15*0.05</f>
        <v>1500</v>
      </c>
    </row>
    <row r="18" spans="2:6" x14ac:dyDescent="0.35">
      <c r="B18" s="39" t="s">
        <v>166</v>
      </c>
      <c r="C18" s="39"/>
      <c r="D18" s="39"/>
      <c r="E18" s="39"/>
      <c r="F18" s="39">
        <f>F16+F9</f>
        <v>9592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TF59_2026</vt:lpstr>
      <vt:lpstr>TF59_2026 Previously</vt:lpstr>
      <vt:lpstr>ΠΙΝΑΚΕΣ</vt:lpstr>
      <vt:lpstr>Διάθεση Διαμερίσματος</vt:lpstr>
      <vt:lpstr>Εταιρεία Κάτοικος Κύπρου</vt:lpstr>
      <vt:lpstr>ΚΕΡΔΗ ΜΕΧΡΙ ΤΟ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Constantinos Kounnis</dc:creator>
  <cp:lastModifiedBy>Constantinos Kounnis</cp:lastModifiedBy>
  <dcterms:created xsi:type="dcterms:W3CDTF">2026-01-12T16:17:13Z</dcterms:created>
  <dcterms:modified xsi:type="dcterms:W3CDTF">2026-01-15T16:29:59Z</dcterms:modified>
</cp:coreProperties>
</file>